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9720" windowHeight="6540" activeTab="0"/>
  </bookViews>
  <sheets>
    <sheet name="Лист2" sheetId="1" r:id="rId1"/>
  </sheets>
  <definedNames>
    <definedName name="_xlnm.Print_Area" localSheetId="0">'Лист2'!$A$1:$M$261</definedName>
  </definedNames>
  <calcPr fullCalcOnLoad="1"/>
</workbook>
</file>

<file path=xl/sharedStrings.xml><?xml version="1.0" encoding="utf-8"?>
<sst xmlns="http://schemas.openxmlformats.org/spreadsheetml/2006/main" count="510" uniqueCount="365">
  <si>
    <t xml:space="preserve">Субвенція з місцевого бюджету державному бюджету на виконання програм соціально - економічного та культурного розвитку регіонів (міська соціальна програма протидії захворюванню на туберкульоз на 2014-2017роки) </t>
  </si>
  <si>
    <t>Субвенція з місцевого бюджету державному бюджету на виконання програм соціально - економічного та культурного розвитку регіонів (міська програма "Репродуктивне здоров'я населення міста Южноукраїнська " на 2013-2015 роки )</t>
  </si>
  <si>
    <t xml:space="preserve">Інші видатки на соціальний захист населення (міська цільова програма "Цукровий діабет" на 2014-2016 роки) </t>
  </si>
  <si>
    <t>Субвенція з місцевого бюджету державному бюджету на виконання програм соціально-економічного та культурного розвитку регіонів  (міська комплексна програма "Молоде покоління м. Южноукраїнська" на 2012-2015 роки )</t>
  </si>
  <si>
    <t>Субвенція з місцевого бюджету державному бюджету на виконання програм соціально - економічного та культурного розвитку регіонів (міська комплексна програма "Турбота" на 2013 - 2017 роки)</t>
  </si>
  <si>
    <t xml:space="preserve">Програма стабілізації та соціально-економічного розвитку територій  (міська програма охорони твариного світу та регулювання чисельності бродячих тварин в місті Южноукраїнську на 2012-2016 роки в частині забезпечення проживання та харчування волонтерів організації VIER PFOTEN Internatsonal) </t>
  </si>
  <si>
    <t>Соціальні програми і заходи державних органів у справах молоді (міська програма захисту прав дитей міста Южноукраїнськ "Дитинство" на 2013-2017 рр.)</t>
  </si>
  <si>
    <t>Теплові мережі (Міська програма реформування і розвитку житлово - комунального господарства міста Южноукраїнська на 2010 - 2014 роки )</t>
  </si>
  <si>
    <t>Теплові мережі (Міська програма енергозбереження в сфері житлово - комунального господарства м.Южноукраїнська  )</t>
  </si>
  <si>
    <t>Капітальні вкладення (субвенції з державного бюджету)</t>
  </si>
  <si>
    <t>Водопровідно-каналізаційне господарство (Міська програма реформування і розвитку житлово - комунального господарства міста Южноукраїнська на 2010 - 2014 роки )</t>
  </si>
  <si>
    <t xml:space="preserve">кримінально-виконавчої системи, державної пожежної охорони,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безвісті або стали інвалідами при проходженні служби, на житлово-комунальні послуги (за рахунок субвенції з державного бюджету) </t>
  </si>
  <si>
    <t>091205</t>
  </si>
  <si>
    <t>Цільовий фонд Южноукраїнської міської ради для вирішення питань розвитку інфраструктури міста (поточний ремонт підлоги в приміщені роздягальні середньої групи №3 ДНЗ №2)</t>
  </si>
  <si>
    <t xml:space="preserve">Видатки на проведення робіт, пов"язаних із будівництвом, реконструкцією, ремонтом та утриманням автомобільних доріг (міська програма розвитку  дорожнього руху та його безпеки в місті Южноукраїнську  на 2013-2017 роки) </t>
  </si>
  <si>
    <t>Безкоштовне забезпечення ліками ветеранів Великої Вітчизняної війни за рецептами лікарів згідно переліку</t>
  </si>
  <si>
    <t>Матеріальна допомога громадянам міста у зв’язку з підвищенням тарифів на житлово-комунальні послуги</t>
  </si>
  <si>
    <t>250344</t>
  </si>
  <si>
    <t>Пільги ветеранам військової служби, ветеранам органів внутрішніх справ, ветеранам державної пожежної охорони,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державної пожежної охорони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на придбання твердого палива  (субвенція)</t>
  </si>
  <si>
    <t>Інші пільги ветеранам військової  служби, ветеранам органів внутрішніх справ, ветеранам державної пожежної охорони, ветеранам Державної служби спеціального зв’язку та захисту інформації України, вдовам ( вдівцям) померлих (загиблих) ветеранів військової служби,  ветеранів органів внутрішніх справ, ветеранів державної пожежної охорони та ветеранів Державної служби спеціального зв’язку та захисту інформації України, особам, звільненим з військової служби, які стали інвалідами під час проходження військової служби, пенсіонерам з числа слідчих прокуратури (субвенція)</t>
  </si>
  <si>
    <t>091303</t>
  </si>
  <si>
    <t>091304</t>
  </si>
  <si>
    <t>200100</t>
  </si>
  <si>
    <t>100201</t>
  </si>
  <si>
    <t>090214</t>
  </si>
  <si>
    <t>100208</t>
  </si>
  <si>
    <t>Цільовий фонд Южноукраїнської міської ради для вирішення питань розвитку інфраструктури міста (поточний ремонт кабінету польської мови)</t>
  </si>
  <si>
    <t>Видатки на впровадження засобів обліку витрат та регулювання споживання води та теплової енергії (міська програма реформування і розвитку житлово - комунального господарства міста Южноукраїнська на 2010 - 2014 роки)</t>
  </si>
  <si>
    <t>090000</t>
  </si>
  <si>
    <t xml:space="preserve">Соціальний захист та соціальне забезпечення </t>
  </si>
  <si>
    <t xml:space="preserve">Допомога при  народженні дитини (за рахунок субвенції з державного бюджету) </t>
  </si>
  <si>
    <t>240900</t>
  </si>
  <si>
    <t>Інші видатки (міська програма "Наше місто")</t>
  </si>
  <si>
    <t>Інші культурно-освітні заклади та заходи (Централізована бухгалтерія)</t>
  </si>
  <si>
    <t xml:space="preserve">Освіта </t>
  </si>
  <si>
    <t xml:space="preserve">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 (за рахунок субвенції з державного бюджету) </t>
  </si>
  <si>
    <t>Капітальні вкладення (за рахунок субвенції з державного бюджету)</t>
  </si>
  <si>
    <t>Утримання та навчально-тренувальна робота дитячо-юнацьких спортивних шкіл (за рахунок субвенції з державного бюджету)</t>
  </si>
  <si>
    <t>Утримання центрів соціальних служб для сім’ї, дітей та молоді (за рахунок субвенції з обласного бюджету)</t>
  </si>
  <si>
    <t>Інші освітні програми (Міська програма розвитку освіти в м.Южноукраїнську на 2011-2015 роки в частині видатків "Сучасні підходи до енергозбереження в закладах освіти" за рахунок субвенції з державного бюджету місцевим бюджетам на фінансування Програм-переможців Всеукраїнського конкурсу проектів та програм розвитку місцевого самоврядування на умовах співфінансування )</t>
  </si>
  <si>
    <t xml:space="preserve">міської ради від              2014 № </t>
  </si>
  <si>
    <t xml:space="preserve">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  (за рахунок субвенції з державного бюджету) </t>
  </si>
  <si>
    <t>Інші видатки на соціальний захист населення (міська комплексна програма "Молоде покоління м. Южноукраїнська" на 2012-2015 роки відшкодування за медикаменти дітям-інвалідам)</t>
  </si>
  <si>
    <t>Відшкодування витрат на безкоштовне забезпечення лікарськими засобами інвалідів І та ІІ групи із психічними захворюваннями</t>
  </si>
  <si>
    <t>Соціальні програми і заходи державних органів у справах молоді (міська комплексна програма "Програма профілактики соціального сирітства, захисту прав дітей-сиріт та дітей, позбавлених батьківського піклування на 2012 - 2015 роки")</t>
  </si>
  <si>
    <t xml:space="preserve">Соціальні програми і заходи державних органів у справах молоді (міська комплексна програма "Молоде покоління Южноукраїнська на 2012-2015 роки") </t>
  </si>
  <si>
    <t>160101</t>
  </si>
  <si>
    <t>Субвенція з місцевого бюджету державному бюджету на виконання програм соціально - економічного та культурного розвитку регіонів (міська комплексна програма "Молоде покоління м. Южноукраїнська" на 2012-2015 роки)</t>
  </si>
  <si>
    <t>250362</t>
  </si>
  <si>
    <t xml:space="preserve">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 </t>
  </si>
  <si>
    <t>Програма стабілізації та соціально-економічного розвитку території ( програма приватизації об"єктів, що належать до комунальної власності територіальної громади міста Южноукраїнська на 2012-2014 роки )</t>
  </si>
  <si>
    <t>Програма стабілізації та соціально-економічного розвитку територій (програма реформування і розвитку житлово-комунального господарства міста Южноукраїнська на 2010-2014 роки)</t>
  </si>
  <si>
    <t xml:space="preserve">Програма стабілізації та соціально-економічного розвитку територій (міська програма реформування медичного обслуговування населення м. Южноукраїнська на 2013-2015 р.) </t>
  </si>
  <si>
    <t xml:space="preserve">Субвенція з місцевого бюджету державному бюджету на виконання програм соціально - економічного та культурного розвитку регіонів (міська програма розвитку донороства крові та її компонентов на 2012-2016 роки) </t>
  </si>
  <si>
    <t xml:space="preserve">Субвенція з місцевого бюджету державному бюджету на виконання програм соціально - економічного та культурного розвитку регіонів (міська програма з надання паліативної та хоспісної допомоги в м. Южноукраїнську на період до 2016 року) </t>
  </si>
  <si>
    <t xml:space="preserve">Субвенція з місцевого бюджету державному бюджету на виконання програм соціально - економічного та культурного розвитку регіонів </t>
  </si>
  <si>
    <t>Програма стабілізації та соціально-економічного розвитку територій  (програма капітального будівництва об"єктів житлово-комунального господарства  і соціальної інфраструктури м.Южноукраїнську на 2011-2015 роки)</t>
  </si>
  <si>
    <t>Цільовий фонд Южноукраїнської міської ради для вирішення питань розвитку  інфраструктури міста (міська програма реформування і розвитку житлово - комунального господарства міста Южноукраїнська на 2010 - 2014 роки)</t>
  </si>
  <si>
    <t xml:space="preserve">Інші пільги ветеранам війні,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вдовам(вдівцям) та батькам померлих (загиблих) осіб, які мають особливі трудові заслуги перед Батьківщиною, жертвам нациських переслідувань та реабілітованим громадянам, які стали інвалідами внаслідок репресій або є пенсіонерами (за рахунок субвенції з державного бюджету) </t>
  </si>
  <si>
    <t xml:space="preserve">Субсидії населення для відшкодування витрат на придбання твердого та рідкого пічного побутового палива і скрапленого газу (за рахунок субвенції з державного бюджету) </t>
  </si>
  <si>
    <t>250102</t>
  </si>
  <si>
    <t>Резервний фонд</t>
  </si>
  <si>
    <t>Забезпечення малозабезпечених пенсіонерів, громадян міста гарячими обідами та продовольчими наборами, доставка готової іжі</t>
  </si>
  <si>
    <t>Одноразова допомога до Дня пам'яті жертв радіаційних аварій та катастроф</t>
  </si>
  <si>
    <t>250388</t>
  </si>
  <si>
    <t>Цільовий фонд Южноукраїнської міської ради для вирішення питань розвитку інфраструктури міста (міська програма розвитку освіти в м.Южноукраїнську на 2011 - 2015  роки - придбання та встановлення устаткування доочищення води в загальноосвітних закладах)</t>
  </si>
  <si>
    <t xml:space="preserve">Житлово - експлуатаційне господарство </t>
  </si>
  <si>
    <t>Дотація  житлово - комунальному господарству (міська програма реформування і розвитку житлово - комунального господарства міста Южноукраїнська на 2010 - 2014 роки )</t>
  </si>
  <si>
    <t>150110</t>
  </si>
  <si>
    <t>Проведення невідкладних відновлювальних робіт, будівництво та реконструкція загальноосвітніх навчальних закладів</t>
  </si>
  <si>
    <t>Землеустрій (міська програма розвитку земельних відносин на 2011-2015 роки )</t>
  </si>
  <si>
    <t xml:space="preserve">Міська програма імунопрофілактики та захисту населення міста Южноукраїнська від інфекційних хвороб на 2012 - 2015 роки) </t>
  </si>
  <si>
    <t>Міська програма поводження із специфічними біологічними відходами в місті Южноукраїнську на 2012-2015 роки)</t>
  </si>
  <si>
    <t xml:space="preserve">Міська програма реформування медичного обслуговування населення міста Южноукраїнська на 2013- 2015рр </t>
  </si>
  <si>
    <t xml:space="preserve">Заходи до свят (до Дня визволення Арбузинського району, захисника Вічизни, визволення Ураїни та Миколаївської області, партизанської слави, скорбі, незалежності України, Перемоги, жертв радаційних аварій та катастроф, ліквідатора ЧАЕС, виводу військ з Афганістану) </t>
  </si>
  <si>
    <t>Одноразова допомога афганцям</t>
  </si>
  <si>
    <t xml:space="preserve">Інші видатки (міська комплексна програма "Молоде покоління Южноукраїнська на 2012-2015 роки") </t>
  </si>
  <si>
    <t>Поздоровлення з ювелеєм осіб,які мають 90,95,100 і більше років , 85 років - УБД</t>
  </si>
  <si>
    <t>Пільги  інвалідам по зору 1 та 2 групи (50% по оплаті за комунальні послуги та електронергію)</t>
  </si>
  <si>
    <t>Пільи учаснкам бойових дій Великої Вітчизняої війни (100% знижка за комунальні послуги)</t>
  </si>
  <si>
    <t>Інші видатки  на соціальний захист ветеранів війни та праці  (надання одноразової матеріальної допомоги учасникам бойових дій у роки Великої Вітчизняної війни та у роки війни з Японією до річниці Перемоги у Великій Вітчизняній війні - за рахунок субвенції з обласного бюджету)</t>
  </si>
  <si>
    <t>Послуги зберігання автомобілів інвалідів</t>
  </si>
  <si>
    <t>120201</t>
  </si>
  <si>
    <t>Витрати на поховання учасників бойових дій  та інвалідів війни (за рахунок субвенції з обласного бюджету)</t>
  </si>
  <si>
    <t xml:space="preserve">Субвенція з місцевого бюджету державному бюджету на виконання програм соціально-економічного та культурного розвитку регіонів (міська програма розвитку малого підприємництва в м.Южноукраїнську на 2011-2012 роки) </t>
  </si>
  <si>
    <t>Соціальні програми і заходи державних органів у справах молоді (міська комплексна програма "Молоде покоління м. Южноукраїнська" на 2012-2015 роки )</t>
  </si>
  <si>
    <t>Періодичні видання (газети та журнали) (міська програма підтримка газети  міської ради "Контакт" на 2009 - 2014 роки)</t>
  </si>
  <si>
    <t>Інші видатки на соціальний захист населення (міська програма забезпечення профілактики ВІЛ-інфекції, лікування, догляду та підтримки ВІЛ-інфікованих і хворих на СНІД на 2012-2016 роки )</t>
  </si>
  <si>
    <t>Інші видатки на соціальний захист населення (міська програма "Цукровий діабет" на 2012-2013 роки )</t>
  </si>
  <si>
    <t>Інші видатки на соціальний захист населення (міська програма запобігання та лікування серцево-судинних та судинно-мозгових захворювань на 2012-2014 роки )</t>
  </si>
  <si>
    <t>Інші видатки на соціальний захист населення (міська програма боротьби з онкологічними захворюваннями в м.Южноукраїнську на пероід до 2016 року  )</t>
  </si>
  <si>
    <t xml:space="preserve">Інші видатки на соціальний захист населення </t>
  </si>
  <si>
    <t>180404</t>
  </si>
  <si>
    <t>Видатки на запобігання  та ліквідацію надзвичайних ситуацій та наслідків стихійного лиха  (субвенція з обласного бюджету на проведення невідкладних (першочергових) робіт з ліквідації надзвичайної ситуації, що сталася 18 листопада 2011 року в м.Южноукраїнську)</t>
  </si>
  <si>
    <t>100101</t>
  </si>
  <si>
    <t xml:space="preserve">Субвенція з місцевого бюджету державному бюджету на виконання програм соціально-економічного та культурного розвитку регіонів (Цільова соціальна програма розвитку цивільного захисту  м.Южноукраїнська на 2009-2013 роки в частині придбання аварійно - рятувального обладнання (бензорізак)  для 25-ї Державної пожежно-рятувальної частини Головного управління Державної Служби надзвичайних ситуацій   </t>
  </si>
  <si>
    <t>Поховання одиноких безрідних громадян</t>
  </si>
  <si>
    <t>В тому числі видатки за рахунок субвенцій з державного бюджету</t>
  </si>
  <si>
    <t xml:space="preserve">Дитячі будинки (в тому числі сімейного типу, прийомні сім’ї) (за рахунок субвенції з державного бюджету) </t>
  </si>
  <si>
    <t xml:space="preserve">Допомога на дітей , над якими встановлено опіку чи піклування (за рахунок субвенції з державного бюджету) </t>
  </si>
  <si>
    <t>Виконавчий комітет Южноукраїнської міської ради</t>
  </si>
  <si>
    <t>Управління праці та соціального захисту населення Южноукраїнської міської ради</t>
  </si>
  <si>
    <t>Фінансове управління Южноукраїнської міської ради</t>
  </si>
  <si>
    <t>Управління молоді, спорту та культури Южноукраїнської міської ради</t>
  </si>
  <si>
    <t>Служба у справах дітей Южноукраїнської міської ради</t>
  </si>
  <si>
    <t>090308</t>
  </si>
  <si>
    <t>Допомога на догляд за інвалідом І чи ІІ групи внаслідок психічного розладу (додаткова дотація з державного бюджету)</t>
  </si>
  <si>
    <t>Цільовий фонд Южноукраїнської міської ради для вирішення питань розвитку інфраструктури міста (Програма розвитку футболу в м.Южноукраїнську на 2013-2016 роки)</t>
  </si>
  <si>
    <t xml:space="preserve">Допомога при усиновленні дитини (за рахунок субвенції з державного бюджету)  </t>
  </si>
  <si>
    <t>Придбання санаторно - курортних путівок для інвалідів</t>
  </si>
  <si>
    <t>Встановлення телефонів інвалідам І та ІІ груп (за рахунок субвенції з обласного бюджету)</t>
  </si>
  <si>
    <t>Код тимчасової класифікації видатків та кредитування місцевих бюджетів</t>
  </si>
  <si>
    <t>090215</t>
  </si>
  <si>
    <t xml:space="preserve">Освіта (утримання закладів освіти) </t>
  </si>
  <si>
    <t>Позашкільні заклади освіти, заходи із позашкільної роботи з дітьми</t>
  </si>
  <si>
    <t xml:space="preserve">Державна соціальна допомога інвалідам з дитинства та дітям-інвалідам </t>
  </si>
  <si>
    <t>170000</t>
  </si>
  <si>
    <t>240000</t>
  </si>
  <si>
    <t xml:space="preserve">Програма стабілізації та соціально-економічного розвитку територій (міська програма реформування і розвитку житлово - комунального господарства міста Южноукраїнська на 2010 - 2014 роки - придбання деревоподрібнюючої техніки) </t>
  </si>
  <si>
    <t xml:space="preserve">Капітальні вкладення (міська програма реформування і розвитку житлово - комунального господарства міста Южноукраїнська на 2010 - 2014 роки в частині придбання в комунальну власність нежитлової будівлі, розташованої в м.Южноукраїнську за адресою вул.Дружби Народів,35 "в" для розміщення відділу державної реєстарції актів цивільного стану м. Южноукраїнська) </t>
  </si>
  <si>
    <t xml:space="preserve">Програма стабілізації та соціально-економічного розвитку територій (міська програма реформування і розвитку житлово - комунального господарства міста Южноукраїнська на 2010 - 2014 роки - придбання пресу для твердих побутових відходів ) </t>
  </si>
  <si>
    <t>Загальноосвітні школи ( в тому числі школа - дитячий садок, інтернат при школі), спеціалізовані школи, ліцеї (субвенція з обласного бюджету)</t>
  </si>
  <si>
    <t>Щомісячна матеріальна допомога інвалідам, сім’ям загиблих та померлих учасників бойових дій в Афганістані</t>
  </si>
  <si>
    <t xml:space="preserve">Підтримка малого і середнього підприємництва ( міська програма розвитку малого та середнього підприємництва в м.Южноукраїнську на 2013-2014 роки) </t>
  </si>
  <si>
    <t>Інші видатки  на соціальний захист ветеранів війни та праці  (за рахунок субвенції з обласного бюджету)</t>
  </si>
  <si>
    <t>Соціальні програми і заходи державних органів у справах молоді (міська комплексна програма "Молоде покоління м. Южноукраїнська" на 2012-2015 роки ) УПСЗН</t>
  </si>
  <si>
    <t>061007</t>
  </si>
  <si>
    <t>Органи місцевого самоврядування (утримання управління праці та соціального захисту населення Южноукраїнської міської ради)</t>
  </si>
  <si>
    <t>Органи місцевого самоврядування (утримання управління житлово-комунального господарства Южноукраїнської міської ради)</t>
  </si>
  <si>
    <t xml:space="preserve">Органи місцевого самоврядування (утримання управління молоді, спорту та культури Южноукраїнської міської ради) </t>
  </si>
  <si>
    <t>03</t>
  </si>
  <si>
    <t>10</t>
  </si>
  <si>
    <t>15</t>
  </si>
  <si>
    <t>40</t>
  </si>
  <si>
    <t>75</t>
  </si>
  <si>
    <t>24</t>
  </si>
  <si>
    <t>67</t>
  </si>
  <si>
    <t>20</t>
  </si>
  <si>
    <t>Органи місцевого самоврядування (утримання управління з питань надзвичайних ситуацій та цивільного захисту населення Южноукраїнської міської ради)</t>
  </si>
  <si>
    <t>Органи місцевого самоврядування (утримання служби у справах дітей Южноукраїнської міської ради)</t>
  </si>
  <si>
    <t xml:space="preserve">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 - комунальні послуги (за рахунок субвенції з державного бюджету) </t>
  </si>
  <si>
    <t xml:space="preserve">до рішення Южноукраїнської       </t>
  </si>
  <si>
    <t xml:space="preserve">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 (за рахунок субвенції з державного бюджету) </t>
  </si>
  <si>
    <t xml:space="preserve">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(за рахунок субвенції з державного бюджету) </t>
  </si>
  <si>
    <t>Пільги на медичне обслуговування громадянам, які постраждали внаслідок Чорнобильської катастрофи (за рахунок субвенції з обласного бюджету)</t>
  </si>
  <si>
    <t xml:space="preserve">Допомога у зв"язку з вагітністю і пологами (за рахунок субвенції з державного бюджету) </t>
  </si>
  <si>
    <t>11</t>
  </si>
  <si>
    <t>Центр соціальних служб для сім'ї, дітей та молоді</t>
  </si>
  <si>
    <t>091101</t>
  </si>
  <si>
    <t>250203</t>
  </si>
  <si>
    <t>Проведення виборів народних депутатів Верховної Ради Автономної Республіки Крим, місцевих рад та сільських, селищних, міських голів  (вибори міського голови)</t>
  </si>
  <si>
    <t>Проведення виборів народних депутатів Верховної Ради Автономної Республіки Крим, місцевих рад та сільських, селищних, міських голів (проміжні вибори)</t>
  </si>
  <si>
    <t>Дошкільні  заклади освіти (субвенція с обласного бюджету)</t>
  </si>
  <si>
    <t>240344</t>
  </si>
  <si>
    <t xml:space="preserve">Цільовий фонд Южноукраїнської міської ради для вирішення питань розвитку  інфраструктури міста (міська програма реформування медичного обслуговування населення м. Южноукраїнська на 2013-2015 р. в частині оплати навчання студентів-медиків за укладеною угодою) </t>
  </si>
  <si>
    <t>Інші засоби масової інформації (міська програма інформаційної підтримки розвитку міста та діяльності органів місцевого самоврядування на 2013-2016 роки)</t>
  </si>
  <si>
    <t>Капітальні вкладення (міська програма капітального будівництва об’єктів житлово - комунального господарства та соціальної інфраструктури в м.Южноукраїнську на 2011 - 2015 роки)</t>
  </si>
  <si>
    <t>Інші видатки на соціальний захист населення (Міська комплексна програма "Турбота" на 2013 - 2017 роки)</t>
  </si>
  <si>
    <t>Інші видатки на соціальний захист населення (Міська програма забезпечення профілактики ВІЛ-інфекції, лікування, догляду та підтримки ВІЛ-інфікованих і хворих на СНІД на 2012-2016 роки)</t>
  </si>
  <si>
    <t>Інші видатки на соціальний захист населення (Міська програма запобігання та лікування серцево-судинних та судинно-мозгових захворювань на 2012-2014 роки)</t>
  </si>
  <si>
    <t>Інші видатки на соціальний захист населення (Міська програма боротьби з онкологічними захворюваннями в м.Южноукраїнську на пероід до 2016 року)</t>
  </si>
  <si>
    <t>Інші видатки на соціальний захист населення (Міська програма протидії захворюванню на туберкульоз у 2014 році)</t>
  </si>
  <si>
    <t xml:space="preserve">Інші видатки на соціальний захист населення (Міська програма розвитку донорства крові та її компонентів на 2012 - 2016 роки) </t>
  </si>
  <si>
    <t>Інші видатки на соціальний захист населення (Міська програма з надання паліативної та хоспісної допомоги в м. Южноукраїнську на період до 2016 року)</t>
  </si>
  <si>
    <t>Інші видатки на соціальний захист населення (Міська програма "Репродуктивне здоров’я населення м.Южноукраїнська"  на період до 2015 року)</t>
  </si>
  <si>
    <t xml:space="preserve">Капітальний ремонт житлового фонду (міська програма реформування і розвитку житлово - комунального господарства міста Южноукраїнська на 2010 - 2014 роки) </t>
  </si>
  <si>
    <t xml:space="preserve"> Благоустрій міст, сіл, селищ (Міська програма реформування і розвитку житлово - комунального господарства міста Южноукраїнська на 2010 - 2014 роки) </t>
  </si>
  <si>
    <t xml:space="preserve"> Благоустрій міст, сіл, селищ (Міська програма капітального будівництва об'єктів житлово-комунального господарства та соціальної інфраструктури м. Южноукраїнська на 2011-2015 рр.)</t>
  </si>
  <si>
    <t xml:space="preserve"> Благоустрій міст, сіл, селищ (Міська програма зайнятості населення міста Южноукраїнська на період до 2017 року в частині оплачуваних громадських робіт)</t>
  </si>
  <si>
    <t>Капітальні вкладення (Міська програма капітального будівництва об'єктів житлово-комунального господарства та соціальної інфраструктури м. Южноукраїнська на 2011-2015 рр. )</t>
  </si>
  <si>
    <t xml:space="preserve"> Програма стабілізації та соціально-економічного розвитку територій (Міська програма "Поводження з твердими побутовими відходами на території міста Южноукраїнська на 2013 - 2020 роки" (одержувач КП СКГ))</t>
  </si>
  <si>
    <t xml:space="preserve">Видатки на проведення робіт, пов"язаних із будівництвом, реконструкцією, ремонтом та утриманням автомобільних доріг (субвенція з обласного бюджету місцевим бюджетам за рахунок коштів субвенції з державного бюджету місцевим бюджетам на будівництво, реконструкцію, ремонт та утримання вулиць і доріг комунальної власності у населених пунктах ) </t>
  </si>
  <si>
    <t xml:space="preserve">Субвенція з місцевого бюджету державному бюджету на виконання програм соціально - економічного та культурного розвитку регіонів (міська програма запобігання та лікування серцево-судинних та судинно-мозгових захворювань на 2012-2014 роки - придбання медичного обладнання) </t>
  </si>
  <si>
    <t xml:space="preserve">Допомога на догляд за дитиною віком до 3 років (за рахунок субвенції з державного бюджету) </t>
  </si>
  <si>
    <t xml:space="preserve">Державна соціальна допомога інвалідам з дитинства та дітям-інвалідам (за рахунок субвенції з державного бюджету) </t>
  </si>
  <si>
    <t>Компенсаційні виплати інвалідам на бензин, ремонт, техобслуговування автотранспорту та транспортне обслуговування (за рахунок субвенції з обласного бюджету)</t>
  </si>
  <si>
    <t>Культура і мистецтво (утримання закладів культури)</t>
  </si>
  <si>
    <t>Найменування коду тимчасової класифікації видатків та кредитування місцевих бюджетів</t>
  </si>
  <si>
    <t>120400</t>
  </si>
  <si>
    <t>Цільові фонди</t>
  </si>
  <si>
    <t>Житлово-комунальне господарство</t>
  </si>
  <si>
    <t xml:space="preserve">Пільги окремим категоріям громадян з послуг зв’язку (за рахунок субвенції з державного бюджету) </t>
  </si>
  <si>
    <t xml:space="preserve">Допомога на дітей одиноким матерям (за рахунок субвенції з державного бюджету) </t>
  </si>
  <si>
    <t xml:space="preserve">Тимчасова державна допомога дітям (за рахунок субвенції з державного бюджету) </t>
  </si>
  <si>
    <t xml:space="preserve">Державна соціальна  допомога малозабезпеченим сім"ям (за рахунок субвенції з державного бюджету) </t>
  </si>
  <si>
    <t>Органи місцевого самоврядування (утримання виконавчого комітету Южноукраїнської міської ради)</t>
  </si>
  <si>
    <t>Органи місцевого самоврядування (міська програма інформаційної підтримки розвитку міста та діяльності органів місцевого самоврядування на 2013-2016 роки)</t>
  </si>
  <si>
    <t>Методична робота, інші заходи у галузі освіти</t>
  </si>
  <si>
    <t>Допомога на догляд за інвалідом І чи ІІ групи внаслідок психічного розладу</t>
  </si>
  <si>
    <t>Капітальний ремонт житлового фонду місцевих органів влади (Міська програма капітального будівництва об'єктів житлово-комунального господарства та соціальної інфраструктури м. Южноукраїнська на 2011-2015 рр.)</t>
  </si>
  <si>
    <t>Міська програма "Поводження з твердими побутовими відходами на території міста Южноукраїнська на 2013 - 2020 роки" (одержувач КП СКГ)</t>
  </si>
  <si>
    <t>Інші культурно-освітні заклади та заходи (Програма розвитку культури, фізичної культури, спорту та туризму в м.Южноукраїнську на 2014-2018 роки)</t>
  </si>
  <si>
    <t>Проведення навчально - тренувальних зборів і змагань (Програма розвитку культури, фізичної культури, спорту та туризму в м.Южноукраїнську на 2014-2018 роки)</t>
  </si>
  <si>
    <t xml:space="preserve"> Міська програма розвитку футболу в м.Южноукраїнську на 2013-2016 роки</t>
  </si>
  <si>
    <t>Проведення навчально - тренувальних зборів і змагань з неолімпійських видів спорту (Програма розвитку культури, фізичної культури, спорту та туризму в м.Южноукраїнську на 2014-2018 роки)</t>
  </si>
  <si>
    <t>Утримання та навчально-тренувальна робота комунальних дитячо-юнацьких спортивних шкіл</t>
  </si>
  <si>
    <t>Центри "Спорт для всіх" та заходи з фізичної культури (Програма розвитку культури, фізичної культури, спорту та туризму в м.Южноукраїнську на 2014-2018 роки )</t>
  </si>
  <si>
    <t>Видатки на запобігання та ліквідацію надзвичайних ситуацій та наслідків стихійного лиха (міська цільова соціальна програма розвитку цивільного захисту міста Южноукраїнська на 2014 - 2017 роки)</t>
  </si>
  <si>
    <t xml:space="preserve">Утримання центрів соціальних служб для сім’ї, дітей та молоді </t>
  </si>
  <si>
    <t>Інші видатки  на соціальний захист ветеранів війни та праці  (надання одноразової матеріальної допомоги сім’ям загиблих та померлих учасників бойових дій в Афганістані, інвалідам війни в Афганістані, які мешкають на території Миколаївської області - за рахунок субвенції з обласного бюджету)</t>
  </si>
  <si>
    <t>Управління освіти Южноукраїнської міської ради</t>
  </si>
  <si>
    <t>Територіальні центри соціального обслуговування (надання соціальних послуг) (утримання комунального закладу "Територіальний центр соціального обслуговування (надання соціальних послуг) м.Южноукраїнськ)</t>
  </si>
  <si>
    <t>Управління житлово-комунального господарства та будівництва Южноукраїнської міської ради</t>
  </si>
  <si>
    <t>130106</t>
  </si>
  <si>
    <t>Управління з питань надзвичайних ситуацій, мобілізаційної роботи та взаємодії з правоохоронними органами Южноукраїнської міської ради</t>
  </si>
  <si>
    <t>Інші освітні програми (Міська програма розвитку освіти в м.Южноукраїнську на 2011-2015 роки)</t>
  </si>
  <si>
    <t>Органи місцевого самоврядування (утримання фінансового управління Южноукраїнської міської ради)</t>
  </si>
  <si>
    <t xml:space="preserve">Субсидії населенню для відшкодування витрат на оплату  житлово-комунальних послуг (за рахунок субвенції з державного бюджету) </t>
  </si>
  <si>
    <t>Код типової відомчої класифікації видатків</t>
  </si>
  <si>
    <t>Назва головного розпорядника коштів</t>
  </si>
  <si>
    <t xml:space="preserve">Видатки загального фонду </t>
  </si>
  <si>
    <t>із них:</t>
  </si>
  <si>
    <t>споживання</t>
  </si>
  <si>
    <t>розвитку</t>
  </si>
  <si>
    <t>оплата праці</t>
  </si>
  <si>
    <t>комунальні послуги та енергоносії</t>
  </si>
  <si>
    <t>Органи місцевого самоврядування (утримання управління освіти Южноукраїнської міської ради)</t>
  </si>
  <si>
    <t xml:space="preserve">Компенсаційні виплати на пільговий проїзд автомобільним транспортом окремим категоріям громадян (за рахунок субвенції з державного бюджету) </t>
  </si>
  <si>
    <t>Уточнений розподіл видатків бюджету міста Южноукраїнська на 2014 рік</t>
  </si>
  <si>
    <t xml:space="preserve">Компенсаційні виплати за пільговий проїзд окремим категоріям громадян на залізничному транспорті (за рахунок субвенції з державного бюджету) </t>
  </si>
  <si>
    <t>Всього</t>
  </si>
  <si>
    <t>Разом</t>
  </si>
  <si>
    <t>010116</t>
  </si>
  <si>
    <t>250404</t>
  </si>
  <si>
    <t>070000</t>
  </si>
  <si>
    <t>130107</t>
  </si>
  <si>
    <t>091204</t>
  </si>
  <si>
    <t>170102</t>
  </si>
  <si>
    <t>090405</t>
  </si>
  <si>
    <t>090401</t>
  </si>
  <si>
    <t>090413</t>
  </si>
  <si>
    <t>091209</t>
  </si>
  <si>
    <t>091207</t>
  </si>
  <si>
    <t>090412</t>
  </si>
  <si>
    <t>090416</t>
  </si>
  <si>
    <t>091300</t>
  </si>
  <si>
    <t>100102</t>
  </si>
  <si>
    <t>100203</t>
  </si>
  <si>
    <t>170703</t>
  </si>
  <si>
    <t>210110</t>
  </si>
  <si>
    <t>150101</t>
  </si>
  <si>
    <t>Всього видатки бюджету міста:</t>
  </si>
  <si>
    <t>250301</t>
  </si>
  <si>
    <t>тис.грн.</t>
  </si>
  <si>
    <t>090209</t>
  </si>
  <si>
    <t>Видатки спеціального фонду</t>
  </si>
  <si>
    <t>090201</t>
  </si>
  <si>
    <t>090202</t>
  </si>
  <si>
    <t>090203</t>
  </si>
  <si>
    <t>090204</t>
  </si>
  <si>
    <t>090302</t>
  </si>
  <si>
    <t>090303</t>
  </si>
  <si>
    <t>090304</t>
  </si>
  <si>
    <t>090305</t>
  </si>
  <si>
    <t>090306</t>
  </si>
  <si>
    <t>070101</t>
  </si>
  <si>
    <t>070201</t>
  </si>
  <si>
    <t>070401</t>
  </si>
  <si>
    <t>070802</t>
  </si>
  <si>
    <t>070804</t>
  </si>
  <si>
    <t>070805</t>
  </si>
  <si>
    <t>070806</t>
  </si>
  <si>
    <t>110201</t>
  </si>
  <si>
    <t>110205</t>
  </si>
  <si>
    <t>110502</t>
  </si>
  <si>
    <t>090207</t>
  </si>
  <si>
    <t>110202</t>
  </si>
  <si>
    <t>090206</t>
  </si>
  <si>
    <t>180109</t>
  </si>
  <si>
    <t>Охорона та раціональне використання природних ресурсів (програма охорони довкілля та раціонального природокористування міста Южноукраїнська на 2011 - 2015 роки)</t>
  </si>
  <si>
    <t xml:space="preserve">Програма стабілізації та соціально-економічного розвитку територій (програма охорони довкілля та раціонального природокористування міста Южноукраїнська на 2011 - 2015 роки - придбання мобільного сортувального комплексу для перероблення побутових відходів) </t>
  </si>
  <si>
    <t>за головними розпорядниками  коштів</t>
  </si>
  <si>
    <t xml:space="preserve">Пільги населенню на оплату житлово - комунальних послуг  (субвенція) </t>
  </si>
  <si>
    <t>170302</t>
  </si>
  <si>
    <t>090417</t>
  </si>
  <si>
    <t xml:space="preserve">Охорона та раціональне використання водних ресурсів </t>
  </si>
  <si>
    <t>Заходи з організації рятування на водах (Утримання рятувальної станції)</t>
  </si>
  <si>
    <t>070808</t>
  </si>
  <si>
    <t>210105</t>
  </si>
  <si>
    <t>090205</t>
  </si>
  <si>
    <t>090208</t>
  </si>
  <si>
    <t>090307</t>
  </si>
  <si>
    <t>240601</t>
  </si>
  <si>
    <t>110000</t>
  </si>
  <si>
    <t>Культура і мистецтво (всього)</t>
  </si>
  <si>
    <t>Бібліотеки</t>
  </si>
  <si>
    <t>250331</t>
  </si>
  <si>
    <t>Додаткова додація з державного бюджету місцевим бюджетам на покращення надання соціальних послуг найуразливішим верствам населення</t>
  </si>
  <si>
    <t>Дошкільні  заклади освіти (субвенція с державного бюджету)</t>
  </si>
  <si>
    <t>Територіальні центри соціального обслуговування (надання соціальних послуг) (утримання комунального закладу "Територіальний центр соціального обслуговування (надання соціальних послуг) м.Южноукраїнськ)(субвенція с державного бюджету)</t>
  </si>
  <si>
    <t>Капітальний ремонт житлового фонду місцевих органів влади  (субвенція з державного бюджету)</t>
  </si>
  <si>
    <t xml:space="preserve">Програма стабілізації та соціально-економічного розвитку територій, у тому числі: </t>
  </si>
  <si>
    <t>Школа естетичного виховання дітей</t>
  </si>
  <si>
    <t>Музеї і виставки</t>
  </si>
  <si>
    <t>090200</t>
  </si>
  <si>
    <t>Всього пільги:</t>
  </si>
  <si>
    <t>090300</t>
  </si>
  <si>
    <t>Всього допомоги:</t>
  </si>
  <si>
    <t>090400</t>
  </si>
  <si>
    <t>Всього:</t>
  </si>
  <si>
    <t>091200</t>
  </si>
  <si>
    <t>100202</t>
  </si>
  <si>
    <t>Інші заклади освіти (міжшкільний навчально-виробничий комбінат)</t>
  </si>
  <si>
    <t>070807</t>
  </si>
  <si>
    <t>100103</t>
  </si>
  <si>
    <t>090212</t>
  </si>
  <si>
    <t>091103</t>
  </si>
  <si>
    <t>бюджет розвитку</t>
  </si>
  <si>
    <t>капітальні видатки за рахунок коштів, що передаються із загального фонду до бюджету розвитку (спеціального фонду)</t>
  </si>
  <si>
    <t>Дошкільні  заклади освіти</t>
  </si>
  <si>
    <t>Загальноосвітні школи ( в тому числі школа - дитячий садок, інтернат при школі), спеціалізовані школи, ліцеї</t>
  </si>
  <si>
    <t>Централізовані бухгалтерії обласних, міських, районних відділів освіти</t>
  </si>
  <si>
    <t>Групи централізованого господарського обслуговування</t>
  </si>
  <si>
    <t>130115</t>
  </si>
  <si>
    <t>Інші правоохоронні заходи і заклади (комплексна програма профілактики злочинності та вдосконалення системи захисту конституційних прав і свобод громадян в місті Южноукраїнську на 2011 - 2015 роки)</t>
  </si>
  <si>
    <t>100602</t>
  </si>
  <si>
    <t>Цільовий фонд Южноукраїнської міської ради для вирішення питань розвитку інфраструктури міста (міська програма розвитку культури, фізичної культури, спорту та туризму в м.Южноукраїнську на 2010-2013 роки в частині проведення Дня міста )</t>
  </si>
  <si>
    <t>Цільовий фонд Южноукраїнської міської ради для вирішення питань розвитку інфраструктури міста (міська програма розвитку культури, фізичної культури, спорту та туризму в м.Южноукраїнську на 2010-2013 роки в частині проведення міжнародних змагань "Кубок Южноукраїнська" із танцювального спорту та фотоконкурсу на презентацію нашого міста )</t>
  </si>
  <si>
    <t>Цільовий фонд Южноукраїнської міської ради для вирішення питань розвитку інфраструктури міста (проведення молодіжних заходів та акцій по міській комплексній програмі "Молоде покоління  м.Южноукраїнська" на 2012-2015 роки)</t>
  </si>
  <si>
    <t>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органами державної влади чи місцевого самоврядування (субвенція з державного бюджету)</t>
  </si>
  <si>
    <t>Програма стабілізації та соціально-економічного розвитку територій (міська програма капітального будівництва об'єктів житлово-комунального господарства та соціальної інфраструктури м. Южноукраїнська на 2011-2015 рр. в частині проектування об'єкту "Капітальний ремонт приміщень адміністративно-виробничої будівлі за адресою бул. Цвіточний, 9" та для проведення експертизи кошторисної документації)</t>
  </si>
  <si>
    <t xml:space="preserve">Програма стабілізації та соціально-економічного розвитку територій (міська програма реформування і розвитку житлово - комунального господарства міста Южноукраїнська на 2010 - 2014 роки, в частині  видатків по розробці технічної документації із землеустрою щодо складання документів, що посвідчують права комунальної власності земельної ділянки за адресою вул.Паркова, 8 об’єкту незавершеного будівництва "Дитяча лікарня") </t>
  </si>
  <si>
    <t xml:space="preserve">Утримання закладів, що надають соціальні послуги дітям, які опинились в складних життєвих обставинах (утримання комунального закладу "Центр соціально - психологічної реабілітації дітей") </t>
  </si>
  <si>
    <t>Субвенція з міського бюджету обласному бюджету на погашення кредиторської заборгованості по комунальному закладу "Центр соціально-психологічної реабілітації дітей" Южноукраїнської міської ради, яка утворилася станом на 1 січня 2013 року</t>
  </si>
  <si>
    <t>Додаток №3</t>
  </si>
  <si>
    <t xml:space="preserve">Субвенція з місцевого бюджету державному бюджету на виконання програм соціально - економічного та культурного розвитку регіонів (міська програма імунопрофілактики та захисту населення міста Южноукраїнська від інфекційних хвороб на 2012 - 2015 роки) </t>
  </si>
  <si>
    <t>100000</t>
  </si>
  <si>
    <t xml:space="preserve">Субвенція з державного бюджету місцевим бюджетам на проведення виборів депутатів Верховної Ради Автономної Республіки Крим, місцевих рад та сільських, селищних, міських голів </t>
  </si>
  <si>
    <t>Матеріальна допомога до дня волонтерів</t>
  </si>
  <si>
    <t>Матеріальна допомога до дня визволення України</t>
  </si>
  <si>
    <t>Т.О.Гончарова</t>
  </si>
  <si>
    <t>090700</t>
  </si>
  <si>
    <t>Утримання закладів, що надають соціальні послуги дітям, які опинились в складних життєвих обставинах (утримання комунального закладу "Центр соціально - психологічної реабілітації дітей") (за рахунок субвенції з обласного бюджету)</t>
  </si>
  <si>
    <t>Транспорт, дорожнє господарство, зв'язок, телекомунікації та інформатика</t>
  </si>
  <si>
    <t xml:space="preserve">Видатки на проведення робіт, пов"язаних із будівництвом, реконструкцією, ремонтом та утриманням автомобільних доріг (субвенція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 </t>
  </si>
  <si>
    <t xml:space="preserve">Видатки на проведення робіт, пов"язаних із будівництвом, реконструкцією, ремонтом та утриманням автомобільних доріг (субвенція з обласного бюджету місцевим бюджетам за рахунок коштів державного бюджету на будівництво, реконструкцію, ремонт та утримання вулиць і доріг комунальної власності у населених пунктах ) </t>
  </si>
  <si>
    <t xml:space="preserve">Інші видатки на соціальний захист населення (міська програма протидії захворюванню на туберкульоз у 2012 році) </t>
  </si>
  <si>
    <t xml:space="preserve">Інші видатки на соціальний захист населення  (міська програма розвитку донороства крові та її компонентов на 2012-2016 роки) </t>
  </si>
  <si>
    <t xml:space="preserve">Інші видатки на соціальний захист населення (міська програма імунопрофілактики та захисту населення міста Южноукраїнська від інфекційних хвороб на 2012-2015 роки) </t>
  </si>
  <si>
    <t>Безкоштовне зубопротезування пільгової категорії населення та утримання соціальних палат</t>
  </si>
  <si>
    <t>13=3+6</t>
  </si>
  <si>
    <t>130102</t>
  </si>
  <si>
    <t>Начальник фінансового управління Южноукраїнської міської ради</t>
  </si>
  <si>
    <t>Програма стабілізації та соціально-економічного розвитку територій (міська програма Капітального будівництва об'єктів житлово-комунального господарства і соціальної інфраструктури міста Южноукраїнська на 2011-2015 роки - видатки, пов'язані із проведенням експертизи проектно-кошторисної документації)</t>
  </si>
  <si>
    <t>Програма стабілізації та соціально-економічного розвитку територій (міська програма реформування і розвитку житлово-комунального господарства міста Южноукраїнська на 2010 - 2014 роки, в частині фінансування видатків, пов’язаних із утриманням, управлінням майном що належить до комунальної власності територіальної громади міста (експертною оцінкою, технічною інвентаризацією, оформленням права  власності, розміщення оголошень в ЗМІ) та видатків, пов'язаних із оформленням документів по придбанню об'єкту незавершеного будівництва "Дітяча лікарня" у комунальну власність.</t>
  </si>
  <si>
    <t xml:space="preserve">Допомога дітям-сиротам та дітям, позбавленим батьківського піклування, яким виповнюється 18 років </t>
  </si>
  <si>
    <t>Цільові фонди, утворені Верховною Радою Автономної Республіки Крим, органами місцевого самоврядування і місцевими органами виконавчої влади (цільовий фонд Южноукраїнської міської ради для вирішення питань розвитку інфраструктури міста)</t>
  </si>
  <si>
    <t xml:space="preserve">Кошти, що передаються до державного бюджету з бюджету Автономної Республіки Крим, обласних і районних бюджетів, міських (міст Києва та Севастополя, міст республіканського Автономної Республіки Крим та обласного значення) бюджетів, інших бюджетів місцевого самоврядування, для яких у державному бюджеті визначаються міжбюджетні трансферти </t>
  </si>
  <si>
    <t>090406</t>
  </si>
  <si>
    <t>070303</t>
  </si>
  <si>
    <t xml:space="preserve">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 (за рахунок субвенції з державного бюджету) </t>
  </si>
  <si>
    <t>Капітальний ремонт житлового фонду місцевих органів влади  (субвенція з державного бюджету місцевим бюджетам на здійснення заходів щодо соціально-економічного розвитку окремих територій))</t>
  </si>
  <si>
    <t>Благоустрій  міст, сіл, селищ (субвенція з державного бюджету місцевим бюджетам на здійснення заходів щодо соціально-економічного розвитку окремих територій)</t>
  </si>
  <si>
    <t>Загальноосвітні школи ( в тому числі школа - дитячий садок, інтернат при школі), спеціалізовані школи, ліцеї (субвенція с державного бюджету)</t>
  </si>
  <si>
    <t xml:space="preserve">Субвенція з місцевого бюджету державному бюджету на виконання програм соціально - економічного та культурного розвитку регіонів (міська програма боротьби з онкологічними захворюваннями в м.Южноукраїнську на період до 2016 року) </t>
  </si>
  <si>
    <t xml:space="preserve"> Водопровідно-каналізаційне господарство (Міська програма капітального будівництва об'єктів житлово-комунального господарства та соціальної інфраструктури м. Южноукраїнська на 2011-2015 рр. (одержувач КП ТВКГ)</t>
  </si>
  <si>
    <t>Субвенція з місцевого бюджету державному бюджету на виконання програм соціально-економічного та культурного розвитку регіонів (комплексна програма профілактики злочинності та вдосконалення системи захисту конституційних прав і свобод громадян в місті Южноукраїнську на 2011 - 2015 роки)</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</si>
  <si>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t>
  </si>
  <si>
    <t>Інші видатки на соціальний захист населення (за рахунок субвенції з обласного бюджету)</t>
  </si>
  <si>
    <t>Інші видатки  на соціальний захист ветеранів війни та праці  (міська комплексна програма "Турбота" на 2013 - 2017 роки)</t>
  </si>
  <si>
    <t>Виплата грошової компенсації фізичним особам, які надають соціальні послуги громадянам похилого віку, інвалідам, дітям - інвалідам, хворим, які не здатні до самообслуговування і потребують сторонньої допомоги (міська комплексна програма "Турбота" на 2013 - 2017 роки)</t>
  </si>
  <si>
    <t>Пільги населенню на оплату житлово - комунальних послуг (міська комплексна програма "Турбота" на 2013 - 2017 роки)</t>
  </si>
  <si>
    <t>Фінансова підтримка громадських організацій  інвалідів і ветеранів (міська комплексна програма "Турбота" на 2013 - 2017 роки )</t>
  </si>
  <si>
    <t>Компенсаційні виплати на пільговий проїзд автомобільним транспортом окремим категоріям громадян (дачні перевезення - міська комплексна програма "Турбота" на 2013 - 2017 роки)</t>
  </si>
  <si>
    <t>Інші видатки на соціальний захист населення (міська соціальна програма протидії ВІЛ-інфекції/СНІДу на 2014-2019 роки )</t>
  </si>
</sst>
</file>

<file path=xl/styles.xml><?xml version="1.0" encoding="utf-8"?>
<styleSheet xmlns="http://schemas.openxmlformats.org/spreadsheetml/2006/main">
  <numFmts count="38">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00"/>
    <numFmt numFmtId="186" formatCode="0.0000"/>
    <numFmt numFmtId="187" formatCode="0.00000"/>
    <numFmt numFmtId="188" formatCode="#,##0.0"/>
    <numFmt numFmtId="189" formatCode="#,##0.000"/>
    <numFmt numFmtId="190" formatCode="#,##0.00000"/>
    <numFmt numFmtId="191" formatCode="#,##0.0000"/>
    <numFmt numFmtId="192" formatCode="#,##0.000000"/>
    <numFmt numFmtId="193" formatCode="0_)"/>
  </numFmts>
  <fonts count="38">
    <font>
      <sz val="10"/>
      <name val="Arial Cyr"/>
      <family val="0"/>
    </font>
    <font>
      <u val="single"/>
      <sz val="10"/>
      <color indexed="12"/>
      <name val="Arial Cyr"/>
      <family val="0"/>
    </font>
    <font>
      <u val="single"/>
      <sz val="10"/>
      <color indexed="36"/>
      <name val="Arial Cyr"/>
      <family val="0"/>
    </font>
    <font>
      <sz val="14"/>
      <name val="Times New Roman"/>
      <family val="1"/>
    </font>
    <font>
      <sz val="14"/>
      <color indexed="10"/>
      <name val="Times New Roman"/>
      <family val="1"/>
    </font>
    <font>
      <sz val="16"/>
      <name val="Times New Roman"/>
      <family val="1"/>
    </font>
    <font>
      <sz val="20"/>
      <name val="Times New Roman"/>
      <family val="1"/>
    </font>
    <font>
      <sz val="10"/>
      <name val="Times New Roman"/>
      <family val="1"/>
    </font>
    <font>
      <sz val="10"/>
      <color indexed="8"/>
      <name val="Times New Roman"/>
      <family val="1"/>
    </font>
    <font>
      <sz val="12"/>
      <name val="Times New Roman"/>
      <family val="1"/>
    </font>
    <font>
      <sz val="14"/>
      <color indexed="8"/>
      <name val="Times New Roman"/>
      <family val="1"/>
    </font>
    <font>
      <sz val="11"/>
      <name val="Arial Cyr"/>
      <family val="2"/>
    </font>
    <font>
      <i/>
      <sz val="12"/>
      <name val="Times New Roman"/>
      <family val="1"/>
    </font>
    <font>
      <sz val="8"/>
      <name val="Arial Cyr"/>
      <family val="0"/>
    </font>
    <font>
      <sz val="14"/>
      <name val="Arial Cyr"/>
      <family val="2"/>
    </font>
    <font>
      <sz val="14"/>
      <color indexed="10"/>
      <name val="Arial Cyr"/>
      <family val="2"/>
    </font>
    <font>
      <b/>
      <sz val="15"/>
      <color indexed="62"/>
      <name val="Calibri"/>
      <family val="2"/>
    </font>
    <font>
      <b/>
      <sz val="11"/>
      <color indexed="62"/>
      <name val="Calibri"/>
      <family val="2"/>
    </font>
    <font>
      <b/>
      <sz val="18"/>
      <color indexed="62"/>
      <name val="Cambria"/>
      <family val="2"/>
    </font>
    <font>
      <b/>
      <sz val="14"/>
      <name val="Times New Roman"/>
      <family val="1"/>
    </font>
    <font>
      <sz val="22"/>
      <name val="Times New Roman"/>
      <family val="1"/>
    </font>
    <font>
      <sz val="22"/>
      <name val="Arial Cyr"/>
      <family val="0"/>
    </font>
    <font>
      <sz val="12"/>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3"/>
      <color indexed="62"/>
      <name val="Calibri"/>
      <family val="2"/>
    </font>
    <font>
      <b/>
      <sz val="11"/>
      <color indexed="8"/>
      <name val="Calibri"/>
      <family val="2"/>
    </font>
    <font>
      <b/>
      <sz val="11"/>
      <color indexed="9"/>
      <name val="Calibri"/>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4"/>
      <name val="Arial Cyr"/>
      <family val="2"/>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
      <patternFill patternType="solid">
        <fgColor indexed="13"/>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2" borderId="0" applyNumberFormat="0" applyBorder="0" applyAlignment="0" applyProtection="0"/>
    <xf numFmtId="0" fontId="23" fillId="5" borderId="0" applyNumberFormat="0" applyBorder="0" applyAlignment="0" applyProtection="0"/>
    <xf numFmtId="0" fontId="23" fillId="3"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6" borderId="0" applyNumberFormat="0" applyBorder="0" applyAlignment="0" applyProtection="0"/>
    <xf numFmtId="0" fontId="23" fillId="9" borderId="0" applyNumberFormat="0" applyBorder="0" applyAlignment="0" applyProtection="0"/>
    <xf numFmtId="0" fontId="23" fillId="3" borderId="0" applyNumberFormat="0" applyBorder="0" applyAlignment="0" applyProtection="0"/>
    <xf numFmtId="0" fontId="24" fillId="10"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6" borderId="0" applyNumberFormat="0" applyBorder="0" applyAlignment="0" applyProtection="0"/>
    <xf numFmtId="0" fontId="24" fillId="10" borderId="0" applyNumberFormat="0" applyBorder="0" applyAlignment="0" applyProtection="0"/>
    <xf numFmtId="0" fontId="24" fillId="3"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0" borderId="0" applyNumberFormat="0" applyBorder="0" applyAlignment="0" applyProtection="0"/>
    <xf numFmtId="0" fontId="24" fillId="14" borderId="0" applyNumberFormat="0" applyBorder="0" applyAlignment="0" applyProtection="0"/>
    <xf numFmtId="0" fontId="25" fillId="3" borderId="1" applyNumberFormat="0" applyAlignment="0" applyProtection="0"/>
    <xf numFmtId="0" fontId="26" fillId="2" borderId="2" applyNumberFormat="0" applyAlignment="0" applyProtection="0"/>
    <xf numFmtId="0" fontId="27" fillId="2" borderId="1" applyNumberFormat="0" applyAlignment="0" applyProtection="0"/>
    <xf numFmtId="0" fontId="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6" fillId="0" borderId="3" applyNumberFormat="0" applyFill="0" applyAlignment="0" applyProtection="0"/>
    <xf numFmtId="0" fontId="28"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29" fillId="0" borderId="6" applyNumberFormat="0" applyFill="0" applyAlignment="0" applyProtection="0"/>
    <xf numFmtId="0" fontId="30" fillId="15" borderId="7" applyNumberFormat="0" applyAlignment="0" applyProtection="0"/>
    <xf numFmtId="0" fontId="18" fillId="0" borderId="0" applyNumberFormat="0" applyFill="0" applyBorder="0" applyAlignment="0" applyProtection="0"/>
    <xf numFmtId="0" fontId="31" fillId="8" borderId="0" applyNumberFormat="0" applyBorder="0" applyAlignment="0" applyProtection="0"/>
    <xf numFmtId="0" fontId="2" fillId="0" borderId="0" applyNumberFormat="0" applyFill="0" applyBorder="0" applyAlignment="0" applyProtection="0"/>
    <xf numFmtId="0" fontId="32" fillId="16" borderId="0" applyNumberFormat="0" applyBorder="0" applyAlignment="0" applyProtection="0"/>
    <xf numFmtId="0" fontId="33" fillId="0" borderId="0" applyNumberFormat="0" applyFill="0" applyBorder="0" applyAlignment="0" applyProtection="0"/>
    <xf numFmtId="0" fontId="0" fillId="4" borderId="8" applyNumberFormat="0" applyFont="0" applyAlignment="0" applyProtection="0"/>
    <xf numFmtId="9" fontId="0" fillId="0" borderId="0" applyFont="0" applyFill="0" applyBorder="0" applyAlignment="0" applyProtection="0"/>
    <xf numFmtId="0" fontId="34" fillId="0" borderId="9" applyNumberFormat="0" applyFill="0" applyAlignment="0" applyProtection="0"/>
    <xf numFmtId="0" fontId="3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6" fillId="17" borderId="0" applyNumberFormat="0" applyBorder="0" applyAlignment="0" applyProtection="0"/>
  </cellStyleXfs>
  <cellXfs count="132">
    <xf numFmtId="0" fontId="0" fillId="0" borderId="0" xfId="0" applyAlignment="1">
      <alignment/>
    </xf>
    <xf numFmtId="49" fontId="3" fillId="0" borderId="0" xfId="0" applyNumberFormat="1" applyFont="1" applyFill="1" applyAlignment="1">
      <alignment wrapText="1"/>
    </xf>
    <xf numFmtId="0" fontId="3" fillId="0" borderId="0" xfId="0" applyFont="1" applyFill="1" applyAlignment="1">
      <alignment wrapText="1"/>
    </xf>
    <xf numFmtId="49" fontId="3" fillId="0" borderId="0" xfId="0" applyNumberFormat="1" applyFont="1" applyFill="1" applyAlignment="1">
      <alignment horizontal="center" wrapText="1"/>
    </xf>
    <xf numFmtId="49" fontId="3" fillId="0" borderId="10" xfId="0" applyNumberFormat="1" applyFont="1" applyFill="1" applyBorder="1" applyAlignment="1">
      <alignment horizontal="center" wrapText="1"/>
    </xf>
    <xf numFmtId="0" fontId="3" fillId="0" borderId="10" xfId="0" applyFont="1" applyFill="1" applyBorder="1" applyAlignment="1">
      <alignment wrapText="1"/>
    </xf>
    <xf numFmtId="0" fontId="3" fillId="0" borderId="0" xfId="0" applyFont="1" applyFill="1" applyAlignment="1">
      <alignment/>
    </xf>
    <xf numFmtId="1" fontId="3" fillId="0" borderId="10" xfId="0" applyNumberFormat="1" applyFont="1" applyFill="1" applyBorder="1" applyAlignment="1">
      <alignment wrapText="1"/>
    </xf>
    <xf numFmtId="0" fontId="3" fillId="0" borderId="10" xfId="0" applyFont="1" applyFill="1" applyBorder="1" applyAlignment="1">
      <alignment horizontal="left" wrapText="1"/>
    </xf>
    <xf numFmtId="0" fontId="3" fillId="0" borderId="10" xfId="0" applyFont="1" applyFill="1" applyBorder="1" applyAlignment="1">
      <alignment vertical="center" wrapText="1"/>
    </xf>
    <xf numFmtId="1" fontId="3" fillId="0" borderId="10" xfId="0" applyNumberFormat="1" applyFont="1" applyFill="1" applyBorder="1" applyAlignment="1">
      <alignment horizontal="left" wrapText="1"/>
    </xf>
    <xf numFmtId="0" fontId="3" fillId="0" borderId="11" xfId="0" applyFont="1" applyFill="1" applyBorder="1" applyAlignment="1">
      <alignment wrapText="1"/>
    </xf>
    <xf numFmtId="0" fontId="3" fillId="0" borderId="12" xfId="0" applyFont="1" applyFill="1" applyBorder="1" applyAlignment="1">
      <alignment wrapText="1"/>
    </xf>
    <xf numFmtId="0" fontId="3" fillId="0" borderId="11" xfId="0" applyFont="1" applyFill="1" applyBorder="1" applyAlignment="1">
      <alignment horizontal="left" wrapText="1"/>
    </xf>
    <xf numFmtId="180" fontId="3" fillId="0" borderId="0" xfId="0" applyNumberFormat="1" applyFont="1" applyFill="1" applyBorder="1" applyAlignment="1">
      <alignment wrapText="1"/>
    </xf>
    <xf numFmtId="180" fontId="3" fillId="0" borderId="0" xfId="0" applyNumberFormat="1" applyFont="1" applyFill="1" applyAlignment="1">
      <alignment wrapText="1"/>
    </xf>
    <xf numFmtId="49" fontId="3" fillId="0" borderId="0" xfId="0" applyNumberFormat="1" applyFont="1" applyFill="1" applyBorder="1" applyAlignment="1">
      <alignment horizontal="center" wrapText="1"/>
    </xf>
    <xf numFmtId="185" fontId="3" fillId="0" borderId="0" xfId="0" applyNumberFormat="1" applyFont="1" applyFill="1" applyAlignment="1">
      <alignment wrapText="1"/>
    </xf>
    <xf numFmtId="0" fontId="3" fillId="0" borderId="0" xfId="0" applyFont="1" applyFill="1" applyBorder="1" applyAlignment="1">
      <alignment/>
    </xf>
    <xf numFmtId="0" fontId="5" fillId="0" borderId="0" xfId="0" applyFont="1" applyFill="1" applyAlignment="1">
      <alignment horizontal="left" wrapText="1"/>
    </xf>
    <xf numFmtId="0" fontId="3" fillId="0" borderId="10" xfId="0" applyNumberFormat="1" applyFont="1" applyFill="1" applyBorder="1" applyAlignment="1">
      <alignment wrapText="1"/>
    </xf>
    <xf numFmtId="0" fontId="6" fillId="0" borderId="0" xfId="0" applyFont="1" applyFill="1" applyAlignment="1">
      <alignment/>
    </xf>
    <xf numFmtId="2" fontId="6" fillId="0" borderId="0" xfId="0" applyNumberFormat="1" applyFont="1" applyFill="1" applyAlignment="1">
      <alignment horizontal="left"/>
    </xf>
    <xf numFmtId="49" fontId="6" fillId="0" borderId="0" xfId="0" applyNumberFormat="1" applyFont="1" applyFill="1" applyAlignment="1">
      <alignment horizontal="left" wrapText="1"/>
    </xf>
    <xf numFmtId="0" fontId="7" fillId="0" borderId="0" xfId="0" applyFont="1" applyFill="1" applyAlignment="1">
      <alignment/>
    </xf>
    <xf numFmtId="0" fontId="3" fillId="0" borderId="13" xfId="0" applyFont="1" applyFill="1" applyBorder="1" applyAlignment="1">
      <alignment horizontal="left" wrapText="1"/>
    </xf>
    <xf numFmtId="0" fontId="3" fillId="18" borderId="12" xfId="0" applyFont="1" applyFill="1" applyBorder="1" applyAlignment="1">
      <alignment horizontal="center" wrapText="1"/>
    </xf>
    <xf numFmtId="49" fontId="3" fillId="18" borderId="12" xfId="0" applyNumberFormat="1" applyFont="1" applyFill="1" applyBorder="1" applyAlignment="1">
      <alignment horizontal="center" wrapText="1"/>
    </xf>
    <xf numFmtId="190" fontId="3" fillId="0" borderId="10" xfId="0" applyNumberFormat="1" applyFont="1" applyFill="1" applyBorder="1" applyAlignment="1">
      <alignment wrapText="1"/>
    </xf>
    <xf numFmtId="0" fontId="3" fillId="18" borderId="0" xfId="0" applyFont="1" applyFill="1" applyAlignment="1">
      <alignment/>
    </xf>
    <xf numFmtId="49" fontId="3" fillId="18" borderId="10" xfId="0" applyNumberFormat="1" applyFont="1" applyFill="1" applyBorder="1" applyAlignment="1">
      <alignment horizontal="center" wrapText="1"/>
    </xf>
    <xf numFmtId="0" fontId="3" fillId="18" borderId="10" xfId="0" applyFont="1" applyFill="1" applyBorder="1" applyAlignment="1">
      <alignment horizontal="center" wrapText="1"/>
    </xf>
    <xf numFmtId="0" fontId="0" fillId="0" borderId="0" xfId="0" applyFont="1" applyFill="1" applyAlignment="1">
      <alignment/>
    </xf>
    <xf numFmtId="0" fontId="3" fillId="18" borderId="10" xfId="0" applyFont="1" applyFill="1" applyBorder="1" applyAlignment="1">
      <alignment wrapText="1"/>
    </xf>
    <xf numFmtId="0" fontId="3" fillId="18" borderId="10" xfId="0" applyFont="1" applyFill="1" applyBorder="1" applyAlignment="1">
      <alignment horizontal="left" wrapText="1"/>
    </xf>
    <xf numFmtId="190" fontId="3" fillId="0" borderId="0" xfId="0" applyNumberFormat="1" applyFont="1" applyFill="1" applyAlignment="1">
      <alignment wrapText="1"/>
    </xf>
    <xf numFmtId="190" fontId="3" fillId="18" borderId="10" xfId="0" applyNumberFormat="1" applyFont="1" applyFill="1" applyBorder="1" applyAlignment="1">
      <alignment wrapText="1"/>
    </xf>
    <xf numFmtId="190" fontId="3" fillId="18" borderId="12" xfId="0" applyNumberFormat="1" applyFont="1" applyFill="1" applyBorder="1" applyAlignment="1">
      <alignment wrapText="1"/>
    </xf>
    <xf numFmtId="190" fontId="10" fillId="0" borderId="10" xfId="0" applyNumberFormat="1" applyFont="1" applyFill="1" applyBorder="1" applyAlignment="1" applyProtection="1">
      <alignment/>
      <protection locked="0"/>
    </xf>
    <xf numFmtId="190" fontId="4" fillId="0" borderId="10" xfId="0" applyNumberFormat="1" applyFont="1" applyFill="1" applyBorder="1" applyAlignment="1">
      <alignment wrapText="1"/>
    </xf>
    <xf numFmtId="190" fontId="0" fillId="0" borderId="10" xfId="0" applyNumberFormat="1" applyFont="1" applyFill="1" applyBorder="1" applyAlignment="1">
      <alignment wrapText="1"/>
    </xf>
    <xf numFmtId="190" fontId="3" fillId="0" borderId="11" xfId="0" applyNumberFormat="1" applyFont="1" applyFill="1" applyBorder="1" applyAlignment="1">
      <alignment horizontal="right" wrapText="1"/>
    </xf>
    <xf numFmtId="190" fontId="3" fillId="0" borderId="12" xfId="0" applyNumberFormat="1" applyFont="1" applyFill="1" applyBorder="1" applyAlignment="1">
      <alignment horizontal="right" wrapText="1"/>
    </xf>
    <xf numFmtId="190" fontId="9" fillId="0" borderId="0" xfId="0" applyNumberFormat="1" applyFont="1" applyFill="1" applyBorder="1" applyAlignment="1">
      <alignment wrapText="1"/>
    </xf>
    <xf numFmtId="190" fontId="9" fillId="0" borderId="10" xfId="0" applyNumberFormat="1" applyFont="1" applyFill="1" applyBorder="1" applyAlignment="1">
      <alignment wrapText="1"/>
    </xf>
    <xf numFmtId="190" fontId="3" fillId="0" borderId="12" xfId="0" applyNumberFormat="1" applyFont="1" applyFill="1" applyBorder="1" applyAlignment="1">
      <alignment wrapText="1"/>
    </xf>
    <xf numFmtId="190" fontId="3" fillId="0" borderId="0" xfId="0" applyNumberFormat="1" applyFont="1" applyFill="1" applyBorder="1" applyAlignment="1">
      <alignment wrapText="1"/>
    </xf>
    <xf numFmtId="190" fontId="5" fillId="0" borderId="0" xfId="0" applyNumberFormat="1" applyFont="1" applyFill="1" applyAlignment="1">
      <alignment horizontal="left" wrapText="1"/>
    </xf>
    <xf numFmtId="190" fontId="6" fillId="0" borderId="0" xfId="0" applyNumberFormat="1" applyFont="1" applyFill="1" applyAlignment="1">
      <alignment wrapText="1"/>
    </xf>
    <xf numFmtId="0" fontId="3" fillId="3" borderId="10" xfId="0" applyFont="1" applyFill="1" applyBorder="1" applyAlignment="1">
      <alignment horizontal="left" wrapText="1"/>
    </xf>
    <xf numFmtId="190" fontId="3" fillId="18" borderId="0" xfId="0" applyNumberFormat="1" applyFont="1" applyFill="1" applyAlignment="1">
      <alignment/>
    </xf>
    <xf numFmtId="190" fontId="3" fillId="0" borderId="0" xfId="0" applyNumberFormat="1" applyFont="1" applyFill="1" applyAlignment="1">
      <alignment/>
    </xf>
    <xf numFmtId="190" fontId="3" fillId="0" borderId="10" xfId="0" applyNumberFormat="1" applyFont="1" applyFill="1" applyBorder="1" applyAlignment="1">
      <alignment horizontal="right" wrapText="1"/>
    </xf>
    <xf numFmtId="189" fontId="9" fillId="0" borderId="0" xfId="0" applyNumberFormat="1" applyFont="1" applyFill="1" applyBorder="1" applyAlignment="1">
      <alignment wrapText="1"/>
    </xf>
    <xf numFmtId="0" fontId="3" fillId="0" borderId="10" xfId="0" applyFont="1" applyBorder="1" applyAlignment="1">
      <alignment wrapText="1"/>
    </xf>
    <xf numFmtId="190" fontId="9" fillId="0" borderId="0" xfId="0" applyNumberFormat="1" applyFont="1" applyFill="1" applyAlignment="1">
      <alignment wrapText="1"/>
    </xf>
    <xf numFmtId="0" fontId="0" fillId="0" borderId="0" xfId="0" applyFont="1" applyFill="1" applyAlignment="1">
      <alignment wrapText="1"/>
    </xf>
    <xf numFmtId="190" fontId="3" fillId="0" borderId="10" xfId="0" applyNumberFormat="1" applyFont="1" applyFill="1" applyBorder="1" applyAlignment="1" applyProtection="1">
      <alignment/>
      <protection locked="0"/>
    </xf>
    <xf numFmtId="190" fontId="10" fillId="0" borderId="10" xfId="0" applyNumberFormat="1" applyFont="1" applyFill="1" applyBorder="1" applyAlignment="1">
      <alignment/>
    </xf>
    <xf numFmtId="0" fontId="9" fillId="0" borderId="0" xfId="0" applyFont="1" applyFill="1" applyBorder="1" applyAlignment="1">
      <alignment/>
    </xf>
    <xf numFmtId="0" fontId="3" fillId="0" borderId="13" xfId="0" applyFont="1" applyFill="1" applyBorder="1" applyAlignment="1">
      <alignment wrapText="1"/>
    </xf>
    <xf numFmtId="189" fontId="3" fillId="0" borderId="0" xfId="0" applyNumberFormat="1" applyFont="1" applyFill="1" applyAlignment="1">
      <alignment/>
    </xf>
    <xf numFmtId="0" fontId="12" fillId="0" borderId="0" xfId="0" applyFont="1" applyFill="1" applyBorder="1" applyAlignment="1">
      <alignment/>
    </xf>
    <xf numFmtId="0" fontId="3" fillId="0" borderId="14" xfId="0" applyFont="1" applyFill="1" applyBorder="1" applyAlignment="1">
      <alignment horizontal="left" wrapText="1"/>
    </xf>
    <xf numFmtId="190" fontId="10" fillId="0" borderId="11" xfId="0" applyNumberFormat="1" applyFont="1" applyFill="1" applyBorder="1" applyAlignment="1">
      <alignment/>
    </xf>
    <xf numFmtId="190" fontId="0" fillId="0" borderId="0" xfId="0" applyNumberFormat="1" applyFont="1" applyFill="1" applyAlignment="1">
      <alignment wrapText="1"/>
    </xf>
    <xf numFmtId="0" fontId="11" fillId="0" borderId="0" xfId="0" applyFont="1" applyFill="1" applyAlignment="1">
      <alignment wrapText="1"/>
    </xf>
    <xf numFmtId="190" fontId="11" fillId="0" borderId="0" xfId="0" applyNumberFormat="1" applyFont="1" applyFill="1" applyAlignment="1">
      <alignment wrapText="1"/>
    </xf>
    <xf numFmtId="190" fontId="0" fillId="0" borderId="0" xfId="0" applyNumberFormat="1" applyFont="1" applyFill="1" applyAlignment="1">
      <alignment wrapText="1"/>
    </xf>
    <xf numFmtId="190" fontId="0" fillId="0" borderId="0" xfId="0" applyNumberFormat="1" applyFont="1" applyFill="1" applyBorder="1" applyAlignment="1">
      <alignment/>
    </xf>
    <xf numFmtId="190" fontId="11" fillId="0" borderId="0" xfId="0" applyNumberFormat="1" applyFont="1" applyFill="1" applyAlignment="1">
      <alignment horizontal="center" wrapText="1"/>
    </xf>
    <xf numFmtId="49" fontId="5" fillId="0" borderId="0" xfId="0" applyNumberFormat="1" applyFont="1" applyFill="1" applyBorder="1" applyAlignment="1">
      <alignment horizontal="left"/>
    </xf>
    <xf numFmtId="0" fontId="5" fillId="0" borderId="0" xfId="0" applyFont="1" applyFill="1" applyBorder="1" applyAlignment="1">
      <alignment horizontal="left" wrapText="1"/>
    </xf>
    <xf numFmtId="190" fontId="3" fillId="0" borderId="0" xfId="0" applyNumberFormat="1" applyFont="1" applyFill="1" applyBorder="1" applyAlignment="1">
      <alignment/>
    </xf>
    <xf numFmtId="0" fontId="5" fillId="0" borderId="0" xfId="0" applyFont="1" applyFill="1" applyBorder="1" applyAlignment="1">
      <alignment/>
    </xf>
    <xf numFmtId="189" fontId="3" fillId="0" borderId="0" xfId="0" applyNumberFormat="1" applyFont="1" applyFill="1" applyAlignment="1">
      <alignment wrapText="1"/>
    </xf>
    <xf numFmtId="180" fontId="0" fillId="0" borderId="0" xfId="0" applyNumberFormat="1" applyFont="1" applyFill="1" applyAlignment="1">
      <alignment wrapText="1"/>
    </xf>
    <xf numFmtId="185" fontId="0" fillId="0" borderId="0" xfId="0" applyNumberFormat="1" applyFont="1" applyFill="1" applyAlignment="1">
      <alignment wrapText="1"/>
    </xf>
    <xf numFmtId="190" fontId="14" fillId="0" borderId="10" xfId="0" applyNumberFormat="1" applyFont="1" applyFill="1" applyBorder="1" applyAlignment="1">
      <alignment wrapText="1"/>
    </xf>
    <xf numFmtId="190" fontId="14" fillId="0" borderId="10" xfId="0" applyNumberFormat="1" applyFont="1" applyFill="1" applyBorder="1" applyAlignment="1">
      <alignment wrapText="1"/>
    </xf>
    <xf numFmtId="190" fontId="15" fillId="0" borderId="10" xfId="0" applyNumberFormat="1" applyFont="1" applyFill="1" applyBorder="1" applyAlignment="1">
      <alignment wrapText="1"/>
    </xf>
    <xf numFmtId="1" fontId="3" fillId="0" borderId="0" xfId="0" applyNumberFormat="1" applyFont="1" applyFill="1" applyBorder="1" applyAlignment="1">
      <alignment horizontal="left" wrapText="1"/>
    </xf>
    <xf numFmtId="190" fontId="14" fillId="0" borderId="12" xfId="0" applyNumberFormat="1" applyFont="1" applyFill="1" applyBorder="1" applyAlignment="1">
      <alignment wrapText="1"/>
    </xf>
    <xf numFmtId="1" fontId="3" fillId="0" borderId="13" xfId="0" applyNumberFormat="1" applyFont="1" applyFill="1" applyBorder="1" applyAlignment="1">
      <alignment horizontal="left" wrapText="1"/>
    </xf>
    <xf numFmtId="190" fontId="10" fillId="0" borderId="11" xfId="0" applyNumberFormat="1" applyFont="1" applyFill="1" applyBorder="1" applyAlignment="1" applyProtection="1">
      <alignment/>
      <protection locked="0"/>
    </xf>
    <xf numFmtId="49" fontId="3" fillId="3" borderId="10" xfId="0" applyNumberFormat="1" applyFont="1" applyFill="1" applyBorder="1" applyAlignment="1">
      <alignment horizontal="center" wrapText="1"/>
    </xf>
    <xf numFmtId="190" fontId="3" fillId="3" borderId="10" xfId="0" applyNumberFormat="1" applyFont="1" applyFill="1" applyBorder="1" applyAlignment="1">
      <alignment wrapText="1"/>
    </xf>
    <xf numFmtId="0" fontId="3" fillId="3" borderId="0" xfId="0" applyFont="1" applyFill="1" applyAlignment="1">
      <alignment/>
    </xf>
    <xf numFmtId="180" fontId="3" fillId="3" borderId="0" xfId="0" applyNumberFormat="1" applyFont="1" applyFill="1" applyBorder="1" applyAlignment="1">
      <alignment wrapText="1"/>
    </xf>
    <xf numFmtId="187" fontId="3" fillId="0" borderId="0" xfId="0" applyNumberFormat="1" applyFont="1" applyFill="1" applyBorder="1" applyAlignment="1">
      <alignment wrapText="1"/>
    </xf>
    <xf numFmtId="187" fontId="3" fillId="0" borderId="0" xfId="0" applyNumberFormat="1" applyFont="1" applyFill="1" applyAlignment="1">
      <alignment wrapText="1"/>
    </xf>
    <xf numFmtId="190" fontId="9" fillId="0" borderId="11" xfId="0" applyNumberFormat="1" applyFont="1" applyFill="1" applyBorder="1" applyAlignment="1">
      <alignment wrapText="1"/>
    </xf>
    <xf numFmtId="49" fontId="9" fillId="0" borderId="10" xfId="0" applyNumberFormat="1" applyFont="1" applyFill="1" applyBorder="1" applyAlignment="1">
      <alignment horizontal="center" wrapText="1"/>
    </xf>
    <xf numFmtId="190" fontId="5" fillId="0" borderId="0" xfId="0" applyNumberFormat="1" applyFont="1" applyFill="1" applyBorder="1" applyAlignment="1">
      <alignment/>
    </xf>
    <xf numFmtId="0" fontId="3" fillId="0" borderId="0" xfId="0" applyFont="1" applyFill="1" applyBorder="1" applyAlignment="1">
      <alignment wrapText="1"/>
    </xf>
    <xf numFmtId="0" fontId="3" fillId="0" borderId="0" xfId="0" applyFont="1" applyFill="1" applyBorder="1" applyAlignment="1">
      <alignment horizontal="left" wrapText="1"/>
    </xf>
    <xf numFmtId="190" fontId="3" fillId="0" borderId="10" xfId="0" applyNumberFormat="1" applyFont="1" applyFill="1" applyBorder="1" applyAlignment="1">
      <alignment/>
    </xf>
    <xf numFmtId="0" fontId="3" fillId="0" borderId="10" xfId="0" applyFont="1" applyFill="1" applyBorder="1" applyAlignment="1">
      <alignment vertical="top" wrapText="1"/>
    </xf>
    <xf numFmtId="0" fontId="3" fillId="0" borderId="10" xfId="0" applyFont="1" applyBorder="1" applyAlignment="1">
      <alignment vertical="center" wrapText="1"/>
    </xf>
    <xf numFmtId="49" fontId="20" fillId="0" borderId="0" xfId="0" applyNumberFormat="1" applyFont="1" applyFill="1" applyAlignment="1">
      <alignment wrapText="1"/>
    </xf>
    <xf numFmtId="0" fontId="20" fillId="0" borderId="0" xfId="0" applyFont="1" applyFill="1" applyAlignment="1">
      <alignment wrapText="1"/>
    </xf>
    <xf numFmtId="0" fontId="21" fillId="0" borderId="0" xfId="0" applyFont="1" applyFill="1" applyAlignment="1">
      <alignment wrapText="1"/>
    </xf>
    <xf numFmtId="189" fontId="20" fillId="0" borderId="0" xfId="0" applyNumberFormat="1" applyFont="1" applyFill="1" applyAlignment="1">
      <alignment wrapText="1"/>
    </xf>
    <xf numFmtId="0" fontId="20" fillId="0" borderId="0" xfId="0" applyFont="1" applyFill="1" applyAlignment="1">
      <alignment/>
    </xf>
    <xf numFmtId="0" fontId="20" fillId="0" borderId="0" xfId="0" applyFont="1" applyFill="1" applyAlignment="1">
      <alignment/>
    </xf>
    <xf numFmtId="189" fontId="20" fillId="0" borderId="0" xfId="0" applyNumberFormat="1" applyFont="1" applyFill="1" applyAlignment="1">
      <alignment/>
    </xf>
    <xf numFmtId="0" fontId="7" fillId="0" borderId="10" xfId="0" applyFont="1" applyBorder="1" applyAlignment="1">
      <alignment horizontal="center"/>
    </xf>
    <xf numFmtId="0" fontId="8" fillId="0" borderId="10" xfId="0" applyFont="1" applyBorder="1" applyAlignment="1" applyProtection="1">
      <alignment horizontal="center"/>
      <protection locked="0"/>
    </xf>
    <xf numFmtId="49" fontId="3" fillId="0" borderId="10" xfId="0" applyNumberFormat="1" applyFont="1" applyBorder="1" applyAlignment="1">
      <alignment horizontal="center" vertical="center" wrapText="1"/>
    </xf>
    <xf numFmtId="49" fontId="22" fillId="0" borderId="10" xfId="0" applyNumberFormat="1" applyFont="1" applyBorder="1" applyAlignment="1" applyProtection="1">
      <alignment horizontal="center" vertical="center" wrapText="1"/>
      <protection locked="0"/>
    </xf>
    <xf numFmtId="190" fontId="5" fillId="0" borderId="0" xfId="0" applyNumberFormat="1" applyFont="1" applyFill="1" applyAlignment="1">
      <alignment wrapText="1"/>
    </xf>
    <xf numFmtId="0" fontId="5" fillId="0" borderId="0" xfId="0" applyFont="1" applyFill="1" applyAlignment="1">
      <alignment wrapText="1"/>
    </xf>
    <xf numFmtId="49" fontId="19" fillId="0" borderId="10" xfId="0" applyNumberFormat="1" applyFont="1" applyFill="1" applyBorder="1" applyAlignment="1">
      <alignment horizontal="center" wrapText="1"/>
    </xf>
    <xf numFmtId="190" fontId="19" fillId="0" borderId="10" xfId="0" applyNumberFormat="1" applyFont="1" applyFill="1" applyBorder="1" applyAlignment="1">
      <alignment wrapText="1"/>
    </xf>
    <xf numFmtId="190" fontId="37" fillId="0" borderId="10" xfId="0" applyNumberFormat="1" applyFont="1" applyFill="1" applyBorder="1" applyAlignment="1">
      <alignment wrapText="1"/>
    </xf>
    <xf numFmtId="0" fontId="19" fillId="0" borderId="0" xfId="0" applyFont="1" applyFill="1" applyAlignment="1">
      <alignment/>
    </xf>
    <xf numFmtId="0" fontId="19" fillId="0" borderId="10" xfId="0" applyFont="1" applyFill="1" applyBorder="1" applyAlignment="1">
      <alignment wrapText="1"/>
    </xf>
    <xf numFmtId="49" fontId="22" fillId="0" borderId="10" xfId="0" applyNumberFormat="1" applyFont="1" applyBorder="1" applyAlignment="1" applyProtection="1">
      <alignment horizontal="center" vertical="center" wrapText="1"/>
      <protection locked="0"/>
    </xf>
    <xf numFmtId="0" fontId="20" fillId="0" borderId="0" xfId="0" applyFont="1" applyFill="1" applyAlignment="1">
      <alignment horizontal="left" wrapText="1"/>
    </xf>
    <xf numFmtId="49" fontId="20" fillId="0" borderId="0" xfId="0" applyNumberFormat="1" applyFont="1" applyFill="1" applyAlignment="1">
      <alignment horizontal="center" wrapText="1"/>
    </xf>
    <xf numFmtId="0" fontId="3" fillId="0" borderId="0" xfId="0" applyFont="1" applyFill="1" applyBorder="1" applyAlignment="1">
      <alignment horizontal="center" wrapText="1"/>
    </xf>
    <xf numFmtId="0" fontId="10" fillId="0" borderId="10" xfId="0" applyFont="1" applyBorder="1" applyAlignment="1">
      <alignment horizontal="center" vertical="center" wrapText="1"/>
    </xf>
    <xf numFmtId="0" fontId="14" fillId="0" borderId="10" xfId="0" applyFont="1" applyBorder="1" applyAlignment="1">
      <alignment horizontal="center" vertical="center" wrapText="1"/>
    </xf>
    <xf numFmtId="49" fontId="3" fillId="0" borderId="10" xfId="0" applyNumberFormat="1" applyFont="1" applyBorder="1" applyAlignment="1">
      <alignment horizontal="center" vertical="center" wrapText="1"/>
    </xf>
    <xf numFmtId="190" fontId="3" fillId="0" borderId="11" xfId="0" applyNumberFormat="1" applyFont="1" applyFill="1" applyBorder="1" applyAlignment="1">
      <alignment horizontal="right" wrapText="1"/>
    </xf>
    <xf numFmtId="190" fontId="3" fillId="0" borderId="12" xfId="0" applyNumberFormat="1" applyFont="1" applyFill="1" applyBorder="1" applyAlignment="1">
      <alignment horizontal="right" wrapText="1"/>
    </xf>
    <xf numFmtId="190" fontId="6" fillId="0" borderId="0" xfId="0" applyNumberFormat="1" applyFont="1" applyFill="1" applyAlignment="1">
      <alignment horizontal="center" wrapText="1"/>
    </xf>
    <xf numFmtId="0" fontId="3" fillId="0" borderId="10" xfId="0" applyFont="1" applyBorder="1" applyAlignment="1">
      <alignment horizontal="center" vertical="center" wrapText="1"/>
    </xf>
    <xf numFmtId="190" fontId="14" fillId="0" borderId="11" xfId="0" applyNumberFormat="1" applyFont="1" applyFill="1" applyBorder="1" applyAlignment="1">
      <alignment horizontal="right" wrapText="1"/>
    </xf>
    <xf numFmtId="190" fontId="14" fillId="0" borderId="12" xfId="0" applyNumberFormat="1" applyFont="1" applyFill="1" applyBorder="1" applyAlignment="1">
      <alignment horizontal="right" wrapText="1"/>
    </xf>
    <xf numFmtId="49" fontId="3" fillId="0" borderId="10" xfId="0" applyNumberFormat="1" applyFont="1" applyFill="1" applyBorder="1" applyAlignment="1">
      <alignment horizontal="center" wrapText="1"/>
    </xf>
    <xf numFmtId="190" fontId="3" fillId="0" borderId="10" xfId="0" applyNumberFormat="1" applyFont="1" applyFill="1" applyBorder="1" applyAlignment="1">
      <alignment horizontal="right"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1">
    <dxf>
      <font>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O278"/>
  <sheetViews>
    <sheetView tabSelected="1" view="pageBreakPreview" zoomScale="75" zoomScaleNormal="50" zoomScaleSheetLayoutView="75" zoomScalePageLayoutView="0" workbookViewId="0" topLeftCell="A8">
      <pane xSplit="2" ySplit="3" topLeftCell="E252" activePane="bottomRight" state="frozen"/>
      <selection pane="topLeft" activeCell="A8" sqref="A8"/>
      <selection pane="topRight" activeCell="C8" sqref="C8"/>
      <selection pane="bottomLeft" activeCell="A11" sqref="A11"/>
      <selection pane="bottomRight" activeCell="B147" sqref="B147"/>
    </sheetView>
  </sheetViews>
  <sheetFormatPr defaultColWidth="9.00390625" defaultRowHeight="12.75"/>
  <cols>
    <col min="1" max="1" width="14.625" style="1" customWidth="1"/>
    <col min="2" max="2" width="66.125" style="2" customWidth="1"/>
    <col min="3" max="3" width="18.875" style="2" customWidth="1"/>
    <col min="4" max="4" width="18.375" style="2" customWidth="1"/>
    <col min="5" max="5" width="17.375" style="2" customWidth="1"/>
    <col min="6" max="6" width="19.125" style="2" customWidth="1"/>
    <col min="7" max="7" width="20.00390625" style="56" customWidth="1"/>
    <col min="8" max="8" width="15.75390625" style="2" customWidth="1"/>
    <col min="9" max="9" width="15.375" style="2" customWidth="1"/>
    <col min="10" max="10" width="18.375" style="2" customWidth="1"/>
    <col min="11" max="11" width="19.125" style="2" customWidth="1"/>
    <col min="12" max="12" width="16.25390625" style="2" customWidth="1"/>
    <col min="13" max="13" width="18.75390625" style="75" customWidth="1"/>
    <col min="14" max="14" width="19.875" style="6" customWidth="1"/>
    <col min="15" max="15" width="18.75390625" style="6" bestFit="1" customWidth="1"/>
    <col min="16" max="16384" width="9.125" style="6" customWidth="1"/>
  </cols>
  <sheetData>
    <row r="1" spans="1:13" s="103" customFormat="1" ht="27.75">
      <c r="A1" s="99"/>
      <c r="B1" s="100"/>
      <c r="C1" s="100"/>
      <c r="D1" s="100"/>
      <c r="E1" s="100"/>
      <c r="F1" s="100"/>
      <c r="G1" s="101"/>
      <c r="H1" s="100"/>
      <c r="I1" s="100"/>
      <c r="J1" s="118" t="s">
        <v>324</v>
      </c>
      <c r="K1" s="118"/>
      <c r="L1" s="118"/>
      <c r="M1" s="102"/>
    </row>
    <row r="2" spans="1:13" s="103" customFormat="1" ht="21.75" customHeight="1">
      <c r="A2" s="99"/>
      <c r="B2" s="100"/>
      <c r="C2" s="100"/>
      <c r="D2" s="100"/>
      <c r="E2" s="100"/>
      <c r="F2" s="100"/>
      <c r="G2" s="101"/>
      <c r="H2" s="100"/>
      <c r="I2" s="100"/>
      <c r="J2" s="104" t="s">
        <v>141</v>
      </c>
      <c r="K2" s="104"/>
      <c r="L2" s="104"/>
      <c r="M2" s="105"/>
    </row>
    <row r="3" spans="1:13" s="103" customFormat="1" ht="23.25" customHeight="1">
      <c r="A3" s="99"/>
      <c r="B3" s="100"/>
      <c r="C3" s="100"/>
      <c r="D3" s="100"/>
      <c r="E3" s="100"/>
      <c r="F3" s="100"/>
      <c r="G3" s="101"/>
      <c r="H3" s="100"/>
      <c r="I3" s="100"/>
      <c r="J3" s="104" t="s">
        <v>40</v>
      </c>
      <c r="K3" s="104"/>
      <c r="L3" s="104"/>
      <c r="M3" s="102"/>
    </row>
    <row r="4" spans="1:13" s="103" customFormat="1" ht="36" customHeight="1">
      <c r="A4" s="119" t="s">
        <v>218</v>
      </c>
      <c r="B4" s="119"/>
      <c r="C4" s="119"/>
      <c r="D4" s="119"/>
      <c r="E4" s="119"/>
      <c r="F4" s="119"/>
      <c r="G4" s="119"/>
      <c r="H4" s="119"/>
      <c r="I4" s="119"/>
      <c r="J4" s="119"/>
      <c r="K4" s="119"/>
      <c r="L4" s="119"/>
      <c r="M4" s="119"/>
    </row>
    <row r="5" spans="1:13" s="103" customFormat="1" ht="24" customHeight="1">
      <c r="A5" s="119" t="s">
        <v>271</v>
      </c>
      <c r="B5" s="119"/>
      <c r="C5" s="119"/>
      <c r="D5" s="119"/>
      <c r="E5" s="119"/>
      <c r="F5" s="119"/>
      <c r="G5" s="119"/>
      <c r="H5" s="119"/>
      <c r="I5" s="119"/>
      <c r="J5" s="119"/>
      <c r="K5" s="119"/>
      <c r="L5" s="119"/>
      <c r="M5" s="119"/>
    </row>
    <row r="6" spans="11:13" ht="18.75">
      <c r="K6" s="120" t="s">
        <v>243</v>
      </c>
      <c r="L6" s="120"/>
      <c r="M6" s="120"/>
    </row>
    <row r="7" spans="1:13" s="24" customFormat="1" ht="65.25" customHeight="1">
      <c r="A7" s="108" t="s">
        <v>208</v>
      </c>
      <c r="B7" s="108" t="s">
        <v>209</v>
      </c>
      <c r="C7" s="121" t="s">
        <v>210</v>
      </c>
      <c r="D7" s="122"/>
      <c r="E7" s="122"/>
      <c r="F7" s="121" t="s">
        <v>245</v>
      </c>
      <c r="G7" s="121"/>
      <c r="H7" s="121"/>
      <c r="I7" s="121"/>
      <c r="J7" s="121"/>
      <c r="K7" s="121"/>
      <c r="L7" s="121"/>
      <c r="M7" s="127" t="s">
        <v>221</v>
      </c>
    </row>
    <row r="8" spans="1:13" s="24" customFormat="1" ht="12.75" customHeight="1">
      <c r="A8" s="123" t="s">
        <v>111</v>
      </c>
      <c r="B8" s="123" t="s">
        <v>177</v>
      </c>
      <c r="C8" s="117" t="s">
        <v>220</v>
      </c>
      <c r="D8" s="117" t="s">
        <v>211</v>
      </c>
      <c r="E8" s="117"/>
      <c r="F8" s="117" t="s">
        <v>220</v>
      </c>
      <c r="G8" s="117" t="s">
        <v>212</v>
      </c>
      <c r="H8" s="117" t="s">
        <v>211</v>
      </c>
      <c r="I8" s="117"/>
      <c r="J8" s="117" t="s">
        <v>213</v>
      </c>
      <c r="K8" s="117" t="s">
        <v>211</v>
      </c>
      <c r="L8" s="117"/>
      <c r="M8" s="127"/>
    </row>
    <row r="9" spans="1:13" s="24" customFormat="1" ht="12.75" customHeight="1">
      <c r="A9" s="123"/>
      <c r="B9" s="123"/>
      <c r="C9" s="117"/>
      <c r="D9" s="117" t="s">
        <v>214</v>
      </c>
      <c r="E9" s="117" t="s">
        <v>215</v>
      </c>
      <c r="F9" s="117"/>
      <c r="G9" s="117"/>
      <c r="H9" s="117" t="s">
        <v>214</v>
      </c>
      <c r="I9" s="117" t="s">
        <v>215</v>
      </c>
      <c r="J9" s="117"/>
      <c r="K9" s="117" t="s">
        <v>307</v>
      </c>
      <c r="L9" s="109" t="s">
        <v>211</v>
      </c>
      <c r="M9" s="127"/>
    </row>
    <row r="10" spans="1:13" s="24" customFormat="1" ht="198.75" customHeight="1">
      <c r="A10" s="123"/>
      <c r="B10" s="123"/>
      <c r="C10" s="117"/>
      <c r="D10" s="117"/>
      <c r="E10" s="117"/>
      <c r="F10" s="117"/>
      <c r="G10" s="117"/>
      <c r="H10" s="117"/>
      <c r="I10" s="117"/>
      <c r="J10" s="117"/>
      <c r="K10" s="117"/>
      <c r="L10" s="109" t="s">
        <v>308</v>
      </c>
      <c r="M10" s="127"/>
    </row>
    <row r="11" spans="1:13" s="24" customFormat="1" ht="17.25" customHeight="1">
      <c r="A11" s="106">
        <v>1</v>
      </c>
      <c r="B11" s="106">
        <v>2</v>
      </c>
      <c r="C11" s="107">
        <v>3</v>
      </c>
      <c r="D11" s="107">
        <v>4</v>
      </c>
      <c r="E11" s="107">
        <v>5</v>
      </c>
      <c r="F11" s="106">
        <v>6</v>
      </c>
      <c r="G11" s="106">
        <v>7</v>
      </c>
      <c r="H11" s="106">
        <v>8</v>
      </c>
      <c r="I11" s="106">
        <v>9</v>
      </c>
      <c r="J11" s="106">
        <v>10</v>
      </c>
      <c r="K11" s="106">
        <v>11</v>
      </c>
      <c r="L11" s="106">
        <v>12</v>
      </c>
      <c r="M11" s="106" t="s">
        <v>340</v>
      </c>
    </row>
    <row r="12" spans="1:14" ht="30.75" customHeight="1">
      <c r="A12" s="27" t="s">
        <v>130</v>
      </c>
      <c r="B12" s="26" t="s">
        <v>100</v>
      </c>
      <c r="C12" s="37">
        <f>SUM(C13:C28)</f>
        <v>5357.495329999999</v>
      </c>
      <c r="D12" s="37">
        <f>SUM(D13:D28)</f>
        <v>3016.36</v>
      </c>
      <c r="E12" s="37">
        <f>SUM(E13:E28)</f>
        <v>71.5</v>
      </c>
      <c r="F12" s="37">
        <f>G12+J12</f>
        <v>349.12964</v>
      </c>
      <c r="G12" s="37">
        <f aca="true" t="shared" si="0" ref="G12:L12">SUM(G13:G28)</f>
        <v>11.8</v>
      </c>
      <c r="H12" s="37">
        <f t="shared" si="0"/>
        <v>0</v>
      </c>
      <c r="I12" s="37">
        <f t="shared" si="0"/>
        <v>0</v>
      </c>
      <c r="J12" s="37">
        <f t="shared" si="0"/>
        <v>337.32964</v>
      </c>
      <c r="K12" s="37">
        <f t="shared" si="0"/>
        <v>334.82964</v>
      </c>
      <c r="L12" s="37">
        <f t="shared" si="0"/>
        <v>0</v>
      </c>
      <c r="M12" s="37">
        <f>C12+F12</f>
        <v>5706.624969999999</v>
      </c>
      <c r="N12" s="51"/>
    </row>
    <row r="13" spans="1:13" ht="46.5" customHeight="1">
      <c r="A13" s="4" t="s">
        <v>222</v>
      </c>
      <c r="B13" s="60" t="s">
        <v>185</v>
      </c>
      <c r="C13" s="38">
        <f>4313.7+170.87778+120-1.389+218.4</f>
        <v>4821.588779999999</v>
      </c>
      <c r="D13" s="38">
        <v>3016.36</v>
      </c>
      <c r="E13" s="38">
        <v>71.5</v>
      </c>
      <c r="F13" s="57">
        <f>G13+J13</f>
        <v>23.943240000000003</v>
      </c>
      <c r="G13" s="38">
        <v>11.8</v>
      </c>
      <c r="H13" s="38"/>
      <c r="I13" s="38"/>
      <c r="J13" s="38">
        <f>2.5+9.64324</f>
        <v>12.14324</v>
      </c>
      <c r="K13" s="38">
        <v>9.64324</v>
      </c>
      <c r="L13" s="38"/>
      <c r="M13" s="58">
        <f>C13+F13</f>
        <v>4845.532019999999</v>
      </c>
    </row>
    <row r="14" spans="1:13" ht="66" customHeight="1">
      <c r="A14" s="4" t="s">
        <v>222</v>
      </c>
      <c r="B14" s="7" t="s">
        <v>186</v>
      </c>
      <c r="C14" s="28">
        <f>5+1.389</f>
        <v>6.389</v>
      </c>
      <c r="D14" s="28"/>
      <c r="E14" s="28"/>
      <c r="F14" s="57">
        <f aca="true" t="shared" si="1" ref="F14:F28">G14+J14</f>
        <v>0</v>
      </c>
      <c r="G14" s="78"/>
      <c r="H14" s="28"/>
      <c r="I14" s="28"/>
      <c r="J14" s="28"/>
      <c r="K14" s="28"/>
      <c r="L14" s="28"/>
      <c r="M14" s="28">
        <f aca="true" t="shared" si="2" ref="M14:M28">C14+F14</f>
        <v>6.389</v>
      </c>
    </row>
    <row r="15" spans="1:13" ht="52.5" customHeight="1" hidden="1">
      <c r="A15" s="4" t="s">
        <v>82</v>
      </c>
      <c r="B15" s="8" t="s">
        <v>86</v>
      </c>
      <c r="C15" s="28"/>
      <c r="D15" s="28"/>
      <c r="E15" s="28"/>
      <c r="F15" s="57">
        <f t="shared" si="1"/>
        <v>0</v>
      </c>
      <c r="G15" s="78"/>
      <c r="H15" s="28"/>
      <c r="I15" s="28"/>
      <c r="J15" s="28"/>
      <c r="K15" s="28"/>
      <c r="L15" s="28"/>
      <c r="M15" s="28">
        <f t="shared" si="2"/>
        <v>0</v>
      </c>
    </row>
    <row r="16" spans="1:13" ht="75.75" customHeight="1">
      <c r="A16" s="4" t="s">
        <v>178</v>
      </c>
      <c r="B16" s="5" t="s">
        <v>155</v>
      </c>
      <c r="C16" s="28">
        <f>150+250</f>
        <v>400</v>
      </c>
      <c r="D16" s="28"/>
      <c r="E16" s="28"/>
      <c r="F16" s="57">
        <f t="shared" si="1"/>
        <v>0</v>
      </c>
      <c r="G16" s="78"/>
      <c r="H16" s="28"/>
      <c r="I16" s="28"/>
      <c r="J16" s="28"/>
      <c r="K16" s="28"/>
      <c r="L16" s="28"/>
      <c r="M16" s="28">
        <f t="shared" si="2"/>
        <v>400</v>
      </c>
    </row>
    <row r="17" spans="1:13" ht="105" customHeight="1">
      <c r="A17" s="4" t="s">
        <v>240</v>
      </c>
      <c r="B17" s="98" t="s">
        <v>156</v>
      </c>
      <c r="C17" s="28"/>
      <c r="D17" s="28"/>
      <c r="E17" s="28"/>
      <c r="F17" s="57">
        <f t="shared" si="1"/>
        <v>325.1864</v>
      </c>
      <c r="G17" s="78"/>
      <c r="H17" s="28"/>
      <c r="I17" s="28"/>
      <c r="J17" s="28">
        <f>301+24.1864</f>
        <v>325.1864</v>
      </c>
      <c r="K17" s="28">
        <f>301+24.1864</f>
        <v>325.1864</v>
      </c>
      <c r="L17" s="28"/>
      <c r="M17" s="28">
        <f t="shared" si="2"/>
        <v>325.1864</v>
      </c>
    </row>
    <row r="18" spans="1:13" s="59" customFormat="1" ht="141" customHeight="1" hidden="1">
      <c r="A18" s="4" t="s">
        <v>240</v>
      </c>
      <c r="B18" s="9" t="s">
        <v>119</v>
      </c>
      <c r="C18" s="28"/>
      <c r="D18" s="28"/>
      <c r="E18" s="28"/>
      <c r="F18" s="57">
        <f t="shared" si="1"/>
        <v>0</v>
      </c>
      <c r="G18" s="28"/>
      <c r="H18" s="28"/>
      <c r="I18" s="28"/>
      <c r="J18" s="28"/>
      <c r="K18" s="28"/>
      <c r="L18" s="28"/>
      <c r="M18" s="58">
        <f t="shared" si="2"/>
        <v>0</v>
      </c>
    </row>
    <row r="19" spans="1:13" ht="48.75" customHeight="1" hidden="1">
      <c r="A19" s="4" t="s">
        <v>46</v>
      </c>
      <c r="B19" s="5" t="s">
        <v>70</v>
      </c>
      <c r="C19" s="28">
        <f>100-10-35-55</f>
        <v>0</v>
      </c>
      <c r="D19" s="28"/>
      <c r="E19" s="28"/>
      <c r="F19" s="57">
        <f t="shared" si="1"/>
        <v>0</v>
      </c>
      <c r="G19" s="78"/>
      <c r="H19" s="28"/>
      <c r="I19" s="28"/>
      <c r="J19" s="28"/>
      <c r="K19" s="28"/>
      <c r="L19" s="28"/>
      <c r="M19" s="28">
        <f t="shared" si="2"/>
        <v>0</v>
      </c>
    </row>
    <row r="20" spans="1:13" ht="93" customHeight="1">
      <c r="A20" s="4" t="s">
        <v>268</v>
      </c>
      <c r="B20" s="7" t="s">
        <v>50</v>
      </c>
      <c r="C20" s="28">
        <v>3</v>
      </c>
      <c r="D20" s="28"/>
      <c r="E20" s="28"/>
      <c r="F20" s="57">
        <f t="shared" si="1"/>
        <v>0</v>
      </c>
      <c r="G20" s="82"/>
      <c r="H20" s="45"/>
      <c r="I20" s="45"/>
      <c r="J20" s="45"/>
      <c r="K20" s="45"/>
      <c r="L20" s="45"/>
      <c r="M20" s="45">
        <f t="shared" si="2"/>
        <v>3</v>
      </c>
    </row>
    <row r="21" spans="1:13" ht="86.25" customHeight="1">
      <c r="A21" s="4" t="s">
        <v>268</v>
      </c>
      <c r="B21" s="81" t="s">
        <v>51</v>
      </c>
      <c r="C21" s="28">
        <f>10+0.132</f>
        <v>10.132</v>
      </c>
      <c r="D21" s="28"/>
      <c r="E21" s="28"/>
      <c r="F21" s="57">
        <f t="shared" si="1"/>
        <v>0</v>
      </c>
      <c r="G21" s="78"/>
      <c r="H21" s="28"/>
      <c r="I21" s="28"/>
      <c r="J21" s="28"/>
      <c r="K21" s="28"/>
      <c r="L21" s="28"/>
      <c r="M21" s="28">
        <f t="shared" si="2"/>
        <v>10.132</v>
      </c>
    </row>
    <row r="22" spans="1:13" ht="74.25" customHeight="1">
      <c r="A22" s="4" t="s">
        <v>92</v>
      </c>
      <c r="B22" s="10" t="s">
        <v>123</v>
      </c>
      <c r="C22" s="28">
        <v>5</v>
      </c>
      <c r="D22" s="28"/>
      <c r="E22" s="28"/>
      <c r="F22" s="57">
        <f t="shared" si="1"/>
        <v>0</v>
      </c>
      <c r="G22" s="78"/>
      <c r="H22" s="28"/>
      <c r="I22" s="28"/>
      <c r="J22" s="28"/>
      <c r="K22" s="28"/>
      <c r="L22" s="28"/>
      <c r="M22" s="28">
        <f t="shared" si="2"/>
        <v>5</v>
      </c>
    </row>
    <row r="23" spans="1:13" ht="94.5" customHeight="1" hidden="1">
      <c r="A23" s="4" t="s">
        <v>31</v>
      </c>
      <c r="B23" s="8" t="s">
        <v>346</v>
      </c>
      <c r="C23" s="28"/>
      <c r="D23" s="28"/>
      <c r="E23" s="28"/>
      <c r="F23" s="57">
        <f t="shared" si="1"/>
        <v>0</v>
      </c>
      <c r="G23" s="28"/>
      <c r="H23" s="28"/>
      <c r="I23" s="28"/>
      <c r="J23" s="28"/>
      <c r="K23" s="28"/>
      <c r="L23" s="28"/>
      <c r="M23" s="28">
        <f t="shared" si="2"/>
        <v>0</v>
      </c>
    </row>
    <row r="24" spans="1:13" s="59" customFormat="1" ht="93.75" customHeight="1" hidden="1">
      <c r="A24" s="4" t="s">
        <v>149</v>
      </c>
      <c r="B24" s="7" t="s">
        <v>150</v>
      </c>
      <c r="C24" s="28"/>
      <c r="D24" s="28"/>
      <c r="E24" s="28"/>
      <c r="F24" s="57">
        <f t="shared" si="1"/>
        <v>0</v>
      </c>
      <c r="G24" s="28"/>
      <c r="H24" s="28"/>
      <c r="I24" s="28"/>
      <c r="J24" s="28"/>
      <c r="K24" s="28"/>
      <c r="L24" s="28"/>
      <c r="M24" s="28">
        <f t="shared" si="2"/>
        <v>0</v>
      </c>
    </row>
    <row r="25" spans="1:13" s="59" customFormat="1" ht="66" customHeight="1">
      <c r="A25" s="4" t="s">
        <v>149</v>
      </c>
      <c r="B25" s="7" t="s">
        <v>151</v>
      </c>
      <c r="C25" s="28">
        <v>2.32504</v>
      </c>
      <c r="D25" s="28"/>
      <c r="E25" s="46"/>
      <c r="F25" s="57">
        <f t="shared" si="1"/>
        <v>0</v>
      </c>
      <c r="G25" s="28"/>
      <c r="H25" s="28"/>
      <c r="I25" s="28"/>
      <c r="J25" s="28"/>
      <c r="K25" s="28"/>
      <c r="L25" s="28"/>
      <c r="M25" s="28">
        <f t="shared" si="2"/>
        <v>2.32504</v>
      </c>
    </row>
    <row r="26" spans="1:13" s="59" customFormat="1" ht="102" customHeight="1" hidden="1">
      <c r="A26" s="4" t="s">
        <v>17</v>
      </c>
      <c r="B26" s="7" t="s">
        <v>84</v>
      </c>
      <c r="C26" s="28"/>
      <c r="D26" s="28"/>
      <c r="E26" s="28"/>
      <c r="F26" s="57">
        <f t="shared" si="1"/>
        <v>0</v>
      </c>
      <c r="G26" s="28"/>
      <c r="H26" s="28"/>
      <c r="I26" s="28"/>
      <c r="J26" s="28"/>
      <c r="K26" s="28"/>
      <c r="L26" s="28"/>
      <c r="M26" s="28">
        <f t="shared" si="2"/>
        <v>0</v>
      </c>
    </row>
    <row r="27" spans="1:13" ht="84.75" customHeight="1" hidden="1">
      <c r="A27" s="4" t="s">
        <v>64</v>
      </c>
      <c r="B27" s="8" t="s">
        <v>327</v>
      </c>
      <c r="C27" s="28"/>
      <c r="D27" s="28"/>
      <c r="E27" s="28"/>
      <c r="F27" s="57">
        <f t="shared" si="1"/>
        <v>0</v>
      </c>
      <c r="G27" s="28"/>
      <c r="H27" s="28"/>
      <c r="I27" s="28"/>
      <c r="J27" s="28"/>
      <c r="K27" s="28"/>
      <c r="L27" s="28"/>
      <c r="M27" s="28">
        <f t="shared" si="2"/>
        <v>0</v>
      </c>
    </row>
    <row r="28" spans="1:13" ht="31.5" customHeight="1">
      <c r="A28" s="4" t="s">
        <v>223</v>
      </c>
      <c r="B28" s="5" t="s">
        <v>32</v>
      </c>
      <c r="C28" s="46">
        <f>87+22.06051</f>
        <v>109.06051</v>
      </c>
      <c r="D28" s="28"/>
      <c r="E28" s="28"/>
      <c r="F28" s="57">
        <f t="shared" si="1"/>
        <v>0</v>
      </c>
      <c r="G28" s="78"/>
      <c r="H28" s="28"/>
      <c r="I28" s="28"/>
      <c r="J28" s="28"/>
      <c r="K28" s="28"/>
      <c r="L28" s="28"/>
      <c r="M28" s="28">
        <f t="shared" si="2"/>
        <v>109.06051</v>
      </c>
    </row>
    <row r="29" spans="1:15" ht="29.25" customHeight="1">
      <c r="A29" s="30" t="s">
        <v>131</v>
      </c>
      <c r="B29" s="31" t="s">
        <v>200</v>
      </c>
      <c r="C29" s="36">
        <f>SUM(C34:C47)+C31</f>
        <v>57789.04783000001</v>
      </c>
      <c r="D29" s="36">
        <f>SUM(D34:D47)+D31</f>
        <v>35066.561</v>
      </c>
      <c r="E29" s="36">
        <f>SUM(E34:E47)+E31</f>
        <v>3865.769</v>
      </c>
      <c r="F29" s="36">
        <f>G29+J29</f>
        <v>4433.98829</v>
      </c>
      <c r="G29" s="36">
        <f>SUM(G34:G50)+G31</f>
        <v>3513.2198000000003</v>
      </c>
      <c r="H29" s="36">
        <f>SUM(H34:H50)+H31</f>
        <v>326.702</v>
      </c>
      <c r="I29" s="36">
        <f>SUM(I34:I47)+I31</f>
        <v>52.209</v>
      </c>
      <c r="J29" s="36">
        <f>SUM(J34:J50)+J31</f>
        <v>920.7684899999999</v>
      </c>
      <c r="K29" s="36">
        <f>SUM(K34:K47)+K31</f>
        <v>837.2684899999999</v>
      </c>
      <c r="L29" s="36">
        <f>SUM(L34:L47)+L31</f>
        <v>0</v>
      </c>
      <c r="M29" s="36">
        <f>C29+F29</f>
        <v>62223.03612000001</v>
      </c>
      <c r="N29" s="51">
        <f>SUM(M31:M47)</f>
        <v>185126.79958000002</v>
      </c>
      <c r="O29" s="51">
        <f>N29-M32-M33</f>
        <v>62223.03612</v>
      </c>
    </row>
    <row r="30" spans="1:13" s="87" customFormat="1" ht="39.75" customHeight="1">
      <c r="A30" s="85"/>
      <c r="B30" s="49" t="s">
        <v>97</v>
      </c>
      <c r="C30" s="86">
        <f>C39</f>
        <v>0</v>
      </c>
      <c r="D30" s="86">
        <f>D39</f>
        <v>0</v>
      </c>
      <c r="E30" s="86">
        <f>E39</f>
        <v>0</v>
      </c>
      <c r="F30" s="86">
        <f>G30+J30</f>
        <v>148.6188</v>
      </c>
      <c r="G30" s="86">
        <f aca="true" t="shared" si="3" ref="G30:L30">G39</f>
        <v>148.6188</v>
      </c>
      <c r="H30" s="86">
        <f t="shared" si="3"/>
        <v>0</v>
      </c>
      <c r="I30" s="86">
        <f t="shared" si="3"/>
        <v>0</v>
      </c>
      <c r="J30" s="86">
        <f t="shared" si="3"/>
        <v>0</v>
      </c>
      <c r="K30" s="86">
        <f t="shared" si="3"/>
        <v>0</v>
      </c>
      <c r="L30" s="86">
        <f t="shared" si="3"/>
        <v>0</v>
      </c>
      <c r="M30" s="86">
        <f>N30+Q30</f>
        <v>0</v>
      </c>
    </row>
    <row r="31" spans="1:13" ht="47.25" customHeight="1">
      <c r="A31" s="4" t="s">
        <v>222</v>
      </c>
      <c r="B31" s="94" t="s">
        <v>216</v>
      </c>
      <c r="C31" s="38">
        <f>678.5+9.64039+10</f>
        <v>698.14039</v>
      </c>
      <c r="D31" s="38">
        <v>473.441</v>
      </c>
      <c r="E31" s="38">
        <v>7</v>
      </c>
      <c r="F31" s="57">
        <f>G31+J31</f>
        <v>0</v>
      </c>
      <c r="G31" s="38"/>
      <c r="H31" s="38"/>
      <c r="I31" s="38"/>
      <c r="J31" s="38"/>
      <c r="K31" s="38"/>
      <c r="L31" s="38"/>
      <c r="M31" s="58">
        <f>C31+F31</f>
        <v>698.14039</v>
      </c>
    </row>
    <row r="32" spans="1:13" ht="30.75" customHeight="1">
      <c r="A32" s="4" t="s">
        <v>224</v>
      </c>
      <c r="B32" s="25" t="s">
        <v>34</v>
      </c>
      <c r="C32" s="28">
        <f>SUM(C34:C47)</f>
        <v>57090.90744000001</v>
      </c>
      <c r="D32" s="28">
        <f>SUM(D34:D47)</f>
        <v>34593.12</v>
      </c>
      <c r="E32" s="28">
        <f>SUM(E34:E47)</f>
        <v>3858.769</v>
      </c>
      <c r="F32" s="28">
        <f>G32+J32</f>
        <v>4433.98829</v>
      </c>
      <c r="G32" s="28">
        <f>SUM(G34:G50)</f>
        <v>3513.2198000000003</v>
      </c>
      <c r="H32" s="28">
        <f>SUM(H34:H47)</f>
        <v>326.702</v>
      </c>
      <c r="I32" s="28">
        <f>SUM(I34:I47)</f>
        <v>52.209</v>
      </c>
      <c r="J32" s="28">
        <f>SUM(J34:J50)</f>
        <v>920.7684899999999</v>
      </c>
      <c r="K32" s="28">
        <f>SUM(K34:K47)</f>
        <v>837.2684899999999</v>
      </c>
      <c r="L32" s="28">
        <f>SUM(L34:L47)</f>
        <v>0</v>
      </c>
      <c r="M32" s="28">
        <f>C32+F32</f>
        <v>61524.89573000001</v>
      </c>
    </row>
    <row r="33" spans="1:13" ht="24.75" customHeight="1">
      <c r="A33" s="4" t="s">
        <v>224</v>
      </c>
      <c r="B33" s="25" t="s">
        <v>113</v>
      </c>
      <c r="C33" s="28">
        <f>SUM(C34:C44)</f>
        <v>56944.879440000004</v>
      </c>
      <c r="D33" s="28">
        <f>SUM(D34:D44)</f>
        <v>34593.12</v>
      </c>
      <c r="E33" s="28">
        <f>SUM(E34:E44)</f>
        <v>3858.769</v>
      </c>
      <c r="F33" s="28">
        <f>G33+J33</f>
        <v>4433.98829</v>
      </c>
      <c r="G33" s="28">
        <f>SUM(G34:G50)</f>
        <v>3513.2198000000003</v>
      </c>
      <c r="H33" s="28">
        <f>SUM(H34:H44)</f>
        <v>326.702</v>
      </c>
      <c r="I33" s="28">
        <f>SUM(I34:I44)</f>
        <v>52.209</v>
      </c>
      <c r="J33" s="28">
        <f>SUM(J34:J44)</f>
        <v>920.7684899999999</v>
      </c>
      <c r="K33" s="28">
        <f>SUM(K34:K44)</f>
        <v>837.2684899999999</v>
      </c>
      <c r="L33" s="28">
        <f>SUM(L34:L44)</f>
        <v>0</v>
      </c>
      <c r="M33" s="28">
        <f>C33+F33</f>
        <v>61378.867730000005</v>
      </c>
    </row>
    <row r="34" spans="1:13" ht="28.5" customHeight="1">
      <c r="A34" s="4" t="s">
        <v>255</v>
      </c>
      <c r="B34" s="25" t="s">
        <v>309</v>
      </c>
      <c r="C34" s="28">
        <f>20891.04+282.90885+114.825</f>
        <v>21288.77385</v>
      </c>
      <c r="D34" s="28">
        <v>12245.442</v>
      </c>
      <c r="E34" s="28">
        <v>1412.596</v>
      </c>
      <c r="F34" s="28">
        <f aca="true" t="shared" si="4" ref="F34:F47">G34+J34</f>
        <v>2480.28115</v>
      </c>
      <c r="G34" s="38">
        <v>1841.19</v>
      </c>
      <c r="H34" s="38"/>
      <c r="I34" s="38"/>
      <c r="J34" s="38">
        <v>639.09115</v>
      </c>
      <c r="K34" s="38">
        <v>639.09115</v>
      </c>
      <c r="L34" s="38"/>
      <c r="M34" s="28">
        <f aca="true" t="shared" si="5" ref="M34:M47">C34+F34</f>
        <v>23769.055</v>
      </c>
    </row>
    <row r="35" spans="1:13" ht="41.25" customHeight="1" hidden="1">
      <c r="A35" s="4" t="s">
        <v>255</v>
      </c>
      <c r="B35" s="25" t="s">
        <v>288</v>
      </c>
      <c r="C35" s="28"/>
      <c r="D35" s="28"/>
      <c r="E35" s="28"/>
      <c r="F35" s="28">
        <f t="shared" si="4"/>
        <v>0</v>
      </c>
      <c r="G35" s="38"/>
      <c r="H35" s="38"/>
      <c r="I35" s="38"/>
      <c r="J35" s="38"/>
      <c r="K35" s="38"/>
      <c r="L35" s="38"/>
      <c r="M35" s="28">
        <f t="shared" si="5"/>
        <v>0</v>
      </c>
    </row>
    <row r="36" spans="1:13" s="59" customFormat="1" ht="36.75" customHeight="1" hidden="1">
      <c r="A36" s="4" t="s">
        <v>255</v>
      </c>
      <c r="B36" s="25" t="s">
        <v>152</v>
      </c>
      <c r="C36" s="28"/>
      <c r="D36" s="28"/>
      <c r="E36" s="28"/>
      <c r="F36" s="57">
        <f>G36+J36</f>
        <v>0</v>
      </c>
      <c r="G36" s="38"/>
      <c r="H36" s="38"/>
      <c r="I36" s="38"/>
      <c r="J36" s="38"/>
      <c r="K36" s="38"/>
      <c r="L36" s="38"/>
      <c r="M36" s="58">
        <f>C36+F36</f>
        <v>0</v>
      </c>
    </row>
    <row r="37" spans="1:13" ht="49.5" customHeight="1">
      <c r="A37" s="4" t="s">
        <v>256</v>
      </c>
      <c r="B37" s="60" t="s">
        <v>310</v>
      </c>
      <c r="C37" s="28">
        <f>29015.675-536.6+636.7945+131.225</f>
        <v>29247.0945</v>
      </c>
      <c r="D37" s="28">
        <v>17869.523</v>
      </c>
      <c r="E37" s="28">
        <v>2288.461</v>
      </c>
      <c r="F37" s="28">
        <f t="shared" si="4"/>
        <v>1796.66434</v>
      </c>
      <c r="G37" s="38">
        <v>1514.987</v>
      </c>
      <c r="H37" s="38">
        <v>326.702</v>
      </c>
      <c r="I37" s="38">
        <v>52.209</v>
      </c>
      <c r="J37" s="38">
        <f>143.5+138.17734</f>
        <v>281.67733999999996</v>
      </c>
      <c r="K37" s="38">
        <f>60+138.17734</f>
        <v>198.17734</v>
      </c>
      <c r="L37" s="38"/>
      <c r="M37" s="28">
        <f t="shared" si="5"/>
        <v>31043.75884</v>
      </c>
    </row>
    <row r="38" spans="1:13" ht="63" customHeight="1" hidden="1">
      <c r="A38" s="4" t="s">
        <v>256</v>
      </c>
      <c r="B38" s="60" t="s">
        <v>121</v>
      </c>
      <c r="C38" s="78"/>
      <c r="D38" s="78"/>
      <c r="E38" s="78"/>
      <c r="F38" s="28">
        <f t="shared" si="4"/>
        <v>0</v>
      </c>
      <c r="G38" s="40"/>
      <c r="H38" s="40"/>
      <c r="I38" s="40"/>
      <c r="J38" s="28"/>
      <c r="K38" s="28"/>
      <c r="L38" s="40"/>
      <c r="M38" s="28">
        <f t="shared" si="5"/>
        <v>0</v>
      </c>
    </row>
    <row r="39" spans="1:13" ht="66" customHeight="1">
      <c r="A39" s="4" t="s">
        <v>256</v>
      </c>
      <c r="B39" s="60" t="s">
        <v>353</v>
      </c>
      <c r="C39" s="28">
        <v>0</v>
      </c>
      <c r="D39" s="28"/>
      <c r="E39" s="28"/>
      <c r="F39" s="28">
        <f t="shared" si="4"/>
        <v>148.6188</v>
      </c>
      <c r="G39" s="38">
        <v>148.6188</v>
      </c>
      <c r="H39" s="38"/>
      <c r="I39" s="38"/>
      <c r="J39" s="28"/>
      <c r="K39" s="28"/>
      <c r="L39" s="28"/>
      <c r="M39" s="28">
        <f>C39+F39</f>
        <v>148.6188</v>
      </c>
    </row>
    <row r="40" spans="1:13" ht="46.5" customHeight="1">
      <c r="A40" s="4" t="s">
        <v>257</v>
      </c>
      <c r="B40" s="60" t="s">
        <v>114</v>
      </c>
      <c r="C40" s="28">
        <f>2931.499+35.19628</f>
        <v>2966.69528</v>
      </c>
      <c r="D40" s="28">
        <v>2105.952</v>
      </c>
      <c r="E40" s="28">
        <v>66.469</v>
      </c>
      <c r="F40" s="28">
        <f t="shared" si="4"/>
        <v>8.424</v>
      </c>
      <c r="G40" s="38">
        <v>8.424</v>
      </c>
      <c r="H40" s="38"/>
      <c r="I40" s="38"/>
      <c r="J40" s="38"/>
      <c r="K40" s="38"/>
      <c r="L40" s="38"/>
      <c r="M40" s="28">
        <f t="shared" si="5"/>
        <v>2975.11928</v>
      </c>
    </row>
    <row r="41" spans="1:13" ht="28.5" customHeight="1">
      <c r="A41" s="4" t="s">
        <v>258</v>
      </c>
      <c r="B41" s="60" t="s">
        <v>187</v>
      </c>
      <c r="C41" s="28">
        <f>673.697+26.12987</f>
        <v>699.82687</v>
      </c>
      <c r="D41" s="28">
        <v>478.816</v>
      </c>
      <c r="E41" s="28">
        <v>5.95</v>
      </c>
      <c r="F41" s="28">
        <f t="shared" si="4"/>
        <v>0</v>
      </c>
      <c r="G41" s="38"/>
      <c r="H41" s="38"/>
      <c r="I41" s="38"/>
      <c r="J41" s="38"/>
      <c r="K41" s="38"/>
      <c r="L41" s="38"/>
      <c r="M41" s="28">
        <f t="shared" si="5"/>
        <v>699.82687</v>
      </c>
    </row>
    <row r="42" spans="1:13" ht="45.75" customHeight="1">
      <c r="A42" s="4" t="s">
        <v>259</v>
      </c>
      <c r="B42" s="60" t="s">
        <v>311</v>
      </c>
      <c r="C42" s="28">
        <f>1042.11+10.22226</f>
        <v>1052.33226</v>
      </c>
      <c r="D42" s="28">
        <v>751.053</v>
      </c>
      <c r="E42" s="28">
        <v>12.549</v>
      </c>
      <c r="F42" s="28">
        <f t="shared" si="4"/>
        <v>0</v>
      </c>
      <c r="G42" s="38"/>
      <c r="H42" s="38"/>
      <c r="I42" s="38"/>
      <c r="J42" s="38"/>
      <c r="K42" s="38"/>
      <c r="L42" s="38"/>
      <c r="M42" s="28">
        <f t="shared" si="5"/>
        <v>1052.33226</v>
      </c>
    </row>
    <row r="43" spans="1:13" ht="49.5" customHeight="1">
      <c r="A43" s="4" t="s">
        <v>260</v>
      </c>
      <c r="B43" s="60" t="s">
        <v>312</v>
      </c>
      <c r="C43" s="28">
        <f>700.498+24.6226</f>
        <v>725.1206000000001</v>
      </c>
      <c r="D43" s="28">
        <v>496.322</v>
      </c>
      <c r="E43" s="28">
        <v>6.676</v>
      </c>
      <c r="F43" s="28">
        <f t="shared" si="4"/>
        <v>0</v>
      </c>
      <c r="G43" s="38"/>
      <c r="H43" s="38"/>
      <c r="I43" s="38"/>
      <c r="J43" s="38"/>
      <c r="K43" s="38"/>
      <c r="L43" s="38"/>
      <c r="M43" s="28">
        <f t="shared" si="5"/>
        <v>725.1206000000001</v>
      </c>
    </row>
    <row r="44" spans="1:13" ht="49.5" customHeight="1">
      <c r="A44" s="4" t="s">
        <v>261</v>
      </c>
      <c r="B44" s="60" t="s">
        <v>302</v>
      </c>
      <c r="C44" s="28">
        <f>960.101+1.98508+2.95</f>
        <v>965.0360800000001</v>
      </c>
      <c r="D44" s="28">
        <v>646.012</v>
      </c>
      <c r="E44" s="28">
        <v>66.068</v>
      </c>
      <c r="F44" s="28">
        <f t="shared" si="4"/>
        <v>0</v>
      </c>
      <c r="G44" s="38"/>
      <c r="H44" s="38"/>
      <c r="I44" s="38"/>
      <c r="J44" s="38"/>
      <c r="K44" s="38"/>
      <c r="L44" s="28"/>
      <c r="M44" s="28">
        <f t="shared" si="5"/>
        <v>965.0360800000001</v>
      </c>
    </row>
    <row r="45" spans="1:13" ht="47.25" customHeight="1">
      <c r="A45" s="4" t="s">
        <v>303</v>
      </c>
      <c r="B45" s="60" t="s">
        <v>205</v>
      </c>
      <c r="C45" s="28">
        <f>35.4+71.148+25</f>
        <v>131.548</v>
      </c>
      <c r="D45" s="28"/>
      <c r="E45" s="28"/>
      <c r="F45" s="28">
        <f>G45+J45</f>
        <v>0</v>
      </c>
      <c r="G45" s="40"/>
      <c r="H45" s="28"/>
      <c r="I45" s="28"/>
      <c r="J45" s="28"/>
      <c r="K45" s="28"/>
      <c r="L45" s="28"/>
      <c r="M45" s="28">
        <f t="shared" si="5"/>
        <v>131.548</v>
      </c>
    </row>
    <row r="46" spans="1:13" ht="144.75" customHeight="1" hidden="1">
      <c r="A46" s="92" t="s">
        <v>303</v>
      </c>
      <c r="B46" s="7" t="s">
        <v>39</v>
      </c>
      <c r="C46" s="44"/>
      <c r="D46" s="44"/>
      <c r="E46" s="44"/>
      <c r="F46" s="57">
        <f>G46+J46</f>
        <v>0</v>
      </c>
      <c r="G46" s="38"/>
      <c r="H46" s="38"/>
      <c r="I46" s="38"/>
      <c r="J46" s="38"/>
      <c r="K46" s="38"/>
      <c r="L46" s="38"/>
      <c r="M46" s="58">
        <f t="shared" si="5"/>
        <v>0</v>
      </c>
    </row>
    <row r="47" spans="1:13" ht="53.25" customHeight="1">
      <c r="A47" s="4" t="s">
        <v>277</v>
      </c>
      <c r="B47" s="60" t="s">
        <v>345</v>
      </c>
      <c r="C47" s="28">
        <v>14.48</v>
      </c>
      <c r="D47" s="28"/>
      <c r="E47" s="39"/>
      <c r="F47" s="28">
        <f t="shared" si="4"/>
        <v>0</v>
      </c>
      <c r="G47" s="40"/>
      <c r="H47" s="28"/>
      <c r="I47" s="28"/>
      <c r="J47" s="28"/>
      <c r="K47" s="28"/>
      <c r="L47" s="28"/>
      <c r="M47" s="28">
        <f t="shared" si="5"/>
        <v>14.48</v>
      </c>
    </row>
    <row r="48" spans="1:13" ht="98.25" customHeight="1" hidden="1">
      <c r="A48" s="4" t="s">
        <v>31</v>
      </c>
      <c r="B48" s="83" t="s">
        <v>65</v>
      </c>
      <c r="C48" s="28"/>
      <c r="D48" s="28"/>
      <c r="E48" s="28"/>
      <c r="F48" s="28">
        <f>G48+J48</f>
        <v>0</v>
      </c>
      <c r="G48" s="78"/>
      <c r="H48" s="28"/>
      <c r="I48" s="28"/>
      <c r="J48" s="28"/>
      <c r="K48" s="28"/>
      <c r="L48" s="28"/>
      <c r="M48" s="28">
        <f aca="true" t="shared" si="6" ref="M48:M60">C48+F48</f>
        <v>0</v>
      </c>
    </row>
    <row r="49" spans="1:13" ht="98.25" customHeight="1" hidden="1">
      <c r="A49" s="4" t="s">
        <v>31</v>
      </c>
      <c r="B49" s="25" t="s">
        <v>13</v>
      </c>
      <c r="C49" s="28"/>
      <c r="D49" s="28"/>
      <c r="E49" s="28"/>
      <c r="F49" s="28">
        <f>G49+J49</f>
        <v>0</v>
      </c>
      <c r="G49" s="28"/>
      <c r="H49" s="28"/>
      <c r="I49" s="28"/>
      <c r="J49" s="28"/>
      <c r="K49" s="28"/>
      <c r="L49" s="28"/>
      <c r="M49" s="28">
        <f t="shared" si="6"/>
        <v>0</v>
      </c>
    </row>
    <row r="50" spans="1:13" ht="63.75" customHeight="1" hidden="1">
      <c r="A50" s="4" t="s">
        <v>31</v>
      </c>
      <c r="B50" s="10" t="s">
        <v>26</v>
      </c>
      <c r="C50" s="28"/>
      <c r="D50" s="28"/>
      <c r="E50" s="39"/>
      <c r="F50" s="28">
        <f>G50+J50</f>
        <v>0</v>
      </c>
      <c r="G50" s="78"/>
      <c r="H50" s="28"/>
      <c r="I50" s="28"/>
      <c r="J50" s="28"/>
      <c r="K50" s="28"/>
      <c r="L50" s="28"/>
      <c r="M50" s="28">
        <f t="shared" si="6"/>
        <v>0</v>
      </c>
    </row>
    <row r="51" spans="1:41" ht="47.25" customHeight="1">
      <c r="A51" s="30" t="s">
        <v>132</v>
      </c>
      <c r="B51" s="31" t="s">
        <v>101</v>
      </c>
      <c r="C51" s="36">
        <f>C53+C54+C56+C70+C78+C118+C127+C131+C147+C136+C135</f>
        <v>42955.37398000001</v>
      </c>
      <c r="D51" s="36">
        <f aca="true" t="shared" si="7" ref="D51:L51">D53+D54+D56+D70+D78+D118+D127+D131+D147+D136</f>
        <v>2230.786</v>
      </c>
      <c r="E51" s="36">
        <f t="shared" si="7"/>
        <v>92.19999999999999</v>
      </c>
      <c r="F51" s="36">
        <f>F53+F54+F56+F70+F78+F118+F127+F131+F147+F136</f>
        <v>472.03027</v>
      </c>
      <c r="G51" s="36">
        <f t="shared" si="7"/>
        <v>42.3</v>
      </c>
      <c r="H51" s="36">
        <f t="shared" si="7"/>
        <v>0</v>
      </c>
      <c r="I51" s="36">
        <f t="shared" si="7"/>
        <v>0</v>
      </c>
      <c r="J51" s="36">
        <f t="shared" si="7"/>
        <v>429.73027</v>
      </c>
      <c r="K51" s="36">
        <f t="shared" si="7"/>
        <v>416.73027</v>
      </c>
      <c r="L51" s="36">
        <f t="shared" si="7"/>
        <v>0</v>
      </c>
      <c r="M51" s="36">
        <f>M53+M54+M56+M70+M78+M118+M127+M131+M147+M136+M135</f>
        <v>43427.40425000001</v>
      </c>
      <c r="N51" s="89">
        <f>C51+F51</f>
        <v>43427.404250000014</v>
      </c>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row>
    <row r="52" spans="1:41" s="87" customFormat="1" ht="37.5">
      <c r="A52" s="85"/>
      <c r="B52" s="49" t="s">
        <v>97</v>
      </c>
      <c r="C52" s="86">
        <f aca="true" t="shared" si="8" ref="C52:M52">C54+C57+C58+C59+C60+C64+C65+C66+C68+C69+C71+C72+C73+C74+C75+C76+C77+C79+C80+C81+C128+C133+C134+C106</f>
        <v>37377.8</v>
      </c>
      <c r="D52" s="86">
        <f t="shared" si="8"/>
        <v>0</v>
      </c>
      <c r="E52" s="86">
        <f t="shared" si="8"/>
        <v>0</v>
      </c>
      <c r="F52" s="86">
        <f t="shared" si="8"/>
        <v>0</v>
      </c>
      <c r="G52" s="86">
        <f t="shared" si="8"/>
        <v>0</v>
      </c>
      <c r="H52" s="86">
        <f t="shared" si="8"/>
        <v>0</v>
      </c>
      <c r="I52" s="86">
        <f t="shared" si="8"/>
        <v>0</v>
      </c>
      <c r="J52" s="86">
        <f t="shared" si="8"/>
        <v>0</v>
      </c>
      <c r="K52" s="86">
        <f t="shared" si="8"/>
        <v>0</v>
      </c>
      <c r="L52" s="86">
        <f t="shared" si="8"/>
        <v>0</v>
      </c>
      <c r="M52" s="86">
        <f t="shared" si="8"/>
        <v>37377.8</v>
      </c>
      <c r="N52" s="88"/>
      <c r="O52" s="88"/>
      <c r="P52" s="88"/>
      <c r="Q52" s="88"/>
      <c r="R52" s="88"/>
      <c r="S52" s="88"/>
      <c r="T52" s="88"/>
      <c r="U52" s="88"/>
      <c r="V52" s="88"/>
      <c r="W52" s="88"/>
      <c r="X52" s="88"/>
      <c r="Y52" s="88"/>
      <c r="Z52" s="88"/>
      <c r="AA52" s="88"/>
      <c r="AB52" s="88"/>
      <c r="AC52" s="88"/>
      <c r="AD52" s="88"/>
      <c r="AE52" s="88"/>
      <c r="AF52" s="88"/>
      <c r="AG52" s="88"/>
      <c r="AH52" s="88"/>
      <c r="AI52" s="88"/>
      <c r="AJ52" s="88"/>
      <c r="AK52" s="88"/>
      <c r="AL52" s="88"/>
      <c r="AM52" s="88"/>
      <c r="AN52" s="88"/>
      <c r="AO52" s="88"/>
    </row>
    <row r="53" spans="1:13" ht="67.5" customHeight="1">
      <c r="A53" s="4" t="s">
        <v>222</v>
      </c>
      <c r="B53" s="8" t="s">
        <v>127</v>
      </c>
      <c r="C53" s="28">
        <f>1681.6+29.0029+46.7</f>
        <v>1757.3029</v>
      </c>
      <c r="D53" s="28">
        <v>1168.79</v>
      </c>
      <c r="E53" s="28">
        <v>51.4</v>
      </c>
      <c r="F53" s="28">
        <f aca="true" t="shared" si="9" ref="F53:F60">G53+J53</f>
        <v>6.09009</v>
      </c>
      <c r="G53" s="40"/>
      <c r="H53" s="28"/>
      <c r="I53" s="28"/>
      <c r="J53" s="28">
        <v>6.09009</v>
      </c>
      <c r="K53" s="28">
        <v>6.09009</v>
      </c>
      <c r="L53" s="28"/>
      <c r="M53" s="28">
        <f t="shared" si="6"/>
        <v>1763.3929899999998</v>
      </c>
    </row>
    <row r="54" spans="1:13" ht="49.5" customHeight="1">
      <c r="A54" s="4" t="s">
        <v>349</v>
      </c>
      <c r="B54" s="2" t="s">
        <v>98</v>
      </c>
      <c r="C54" s="28">
        <f>309.8-15</f>
        <v>294.8</v>
      </c>
      <c r="D54" s="28"/>
      <c r="E54" s="28"/>
      <c r="F54" s="28">
        <f t="shared" si="9"/>
        <v>0</v>
      </c>
      <c r="G54" s="78"/>
      <c r="H54" s="28"/>
      <c r="I54" s="28"/>
      <c r="J54" s="28"/>
      <c r="K54" s="28"/>
      <c r="L54" s="28"/>
      <c r="M54" s="28">
        <f t="shared" si="6"/>
        <v>294.8</v>
      </c>
    </row>
    <row r="55" spans="1:13" s="115" customFormat="1" ht="33" customHeight="1">
      <c r="A55" s="112" t="s">
        <v>28</v>
      </c>
      <c r="B55" s="116" t="s">
        <v>29</v>
      </c>
      <c r="C55" s="113">
        <f>C56+C70+C118+C78+C127</f>
        <v>39853.871080000004</v>
      </c>
      <c r="D55" s="113"/>
      <c r="E55" s="113"/>
      <c r="F55" s="113"/>
      <c r="G55" s="114"/>
      <c r="H55" s="113"/>
      <c r="I55" s="113"/>
      <c r="J55" s="113"/>
      <c r="K55" s="113"/>
      <c r="L55" s="113"/>
      <c r="M55" s="113"/>
    </row>
    <row r="56" spans="1:13" ht="32.25" customHeight="1" hidden="1">
      <c r="A56" s="4" t="s">
        <v>294</v>
      </c>
      <c r="B56" s="5" t="s">
        <v>295</v>
      </c>
      <c r="C56" s="28">
        <f>SUM(C57:C69)</f>
        <v>4233.799999999999</v>
      </c>
      <c r="D56" s="28">
        <f>SUM(D57:D69)</f>
        <v>0</v>
      </c>
      <c r="E56" s="28">
        <f>SUM(E57:E69)</f>
        <v>0</v>
      </c>
      <c r="F56" s="28">
        <f t="shared" si="9"/>
        <v>0</v>
      </c>
      <c r="G56" s="28">
        <f aca="true" t="shared" si="10" ref="G56:L56">SUM(G57:G69)</f>
        <v>0</v>
      </c>
      <c r="H56" s="28">
        <f t="shared" si="10"/>
        <v>0</v>
      </c>
      <c r="I56" s="28">
        <f t="shared" si="10"/>
        <v>0</v>
      </c>
      <c r="J56" s="28">
        <f t="shared" si="10"/>
        <v>0</v>
      </c>
      <c r="K56" s="28">
        <f t="shared" si="10"/>
        <v>0</v>
      </c>
      <c r="L56" s="28">
        <f t="shared" si="10"/>
        <v>0</v>
      </c>
      <c r="M56" s="28">
        <f t="shared" si="6"/>
        <v>4233.799999999999</v>
      </c>
    </row>
    <row r="57" spans="1:13" ht="284.25" customHeight="1">
      <c r="A57" s="4" t="s">
        <v>246</v>
      </c>
      <c r="B57" s="5" t="s">
        <v>35</v>
      </c>
      <c r="C57" s="28">
        <f>1504.1</f>
        <v>1504.1</v>
      </c>
      <c r="D57" s="28"/>
      <c r="E57" s="28"/>
      <c r="F57" s="28">
        <f t="shared" si="9"/>
        <v>0</v>
      </c>
      <c r="G57" s="78"/>
      <c r="H57" s="28"/>
      <c r="I57" s="28"/>
      <c r="J57" s="28"/>
      <c r="K57" s="28"/>
      <c r="L57" s="28"/>
      <c r="M57" s="28">
        <f t="shared" si="6"/>
        <v>1504.1</v>
      </c>
    </row>
    <row r="58" spans="1:13" ht="245.25" customHeight="1">
      <c r="A58" s="4" t="s">
        <v>247</v>
      </c>
      <c r="B58" s="5" t="s">
        <v>41</v>
      </c>
      <c r="C58" s="28">
        <v>2.5</v>
      </c>
      <c r="D58" s="28"/>
      <c r="E58" s="28"/>
      <c r="F58" s="28">
        <f t="shared" si="9"/>
        <v>0</v>
      </c>
      <c r="G58" s="78"/>
      <c r="H58" s="28"/>
      <c r="I58" s="28"/>
      <c r="J58" s="28"/>
      <c r="K58" s="28"/>
      <c r="L58" s="28"/>
      <c r="M58" s="28">
        <f t="shared" si="6"/>
        <v>2.5</v>
      </c>
    </row>
    <row r="59" spans="1:13" ht="264" customHeight="1">
      <c r="A59" s="4" t="s">
        <v>248</v>
      </c>
      <c r="B59" s="5" t="s">
        <v>58</v>
      </c>
      <c r="C59" s="28">
        <v>16</v>
      </c>
      <c r="D59" s="28"/>
      <c r="E59" s="28"/>
      <c r="F59" s="28">
        <f t="shared" si="9"/>
        <v>0</v>
      </c>
      <c r="G59" s="78"/>
      <c r="H59" s="28"/>
      <c r="I59" s="28"/>
      <c r="J59" s="28"/>
      <c r="K59" s="28"/>
      <c r="L59" s="28"/>
      <c r="M59" s="28">
        <f t="shared" si="6"/>
        <v>16</v>
      </c>
    </row>
    <row r="60" spans="1:13" ht="324.75" customHeight="1">
      <c r="A60" s="130" t="s">
        <v>249</v>
      </c>
      <c r="B60" s="5" t="s">
        <v>357</v>
      </c>
      <c r="C60" s="131">
        <f>500+288</f>
        <v>788</v>
      </c>
      <c r="D60" s="131"/>
      <c r="E60" s="131"/>
      <c r="F60" s="124">
        <f t="shared" si="9"/>
        <v>0</v>
      </c>
      <c r="G60" s="128"/>
      <c r="H60" s="124"/>
      <c r="I60" s="124"/>
      <c r="J60" s="124"/>
      <c r="K60" s="124"/>
      <c r="L60" s="41"/>
      <c r="M60" s="124">
        <f t="shared" si="6"/>
        <v>788</v>
      </c>
    </row>
    <row r="61" spans="1:13" ht="396" customHeight="1">
      <c r="A61" s="130"/>
      <c r="B61" s="97" t="s">
        <v>11</v>
      </c>
      <c r="C61" s="131"/>
      <c r="D61" s="131"/>
      <c r="E61" s="131"/>
      <c r="F61" s="125"/>
      <c r="G61" s="129"/>
      <c r="H61" s="125"/>
      <c r="I61" s="125"/>
      <c r="J61" s="125"/>
      <c r="K61" s="125"/>
      <c r="L61" s="42"/>
      <c r="M61" s="125"/>
    </row>
    <row r="62" spans="1:13" s="32" customFormat="1" ht="33" customHeight="1" hidden="1">
      <c r="A62" s="4" t="s">
        <v>279</v>
      </c>
      <c r="B62" s="12" t="s">
        <v>18</v>
      </c>
      <c r="C62" s="78"/>
      <c r="D62" s="79"/>
      <c r="E62" s="79"/>
      <c r="F62" s="28">
        <f>G62+J60</f>
        <v>0</v>
      </c>
      <c r="G62" s="78"/>
      <c r="H62" s="79"/>
      <c r="I62" s="79"/>
      <c r="J62" s="79"/>
      <c r="K62" s="79"/>
      <c r="L62" s="79"/>
      <c r="M62" s="78">
        <f aca="true" t="shared" si="11" ref="M62:M78">C62+F62</f>
        <v>0</v>
      </c>
    </row>
    <row r="63" spans="1:13" s="32" customFormat="1" ht="9.75" customHeight="1" hidden="1">
      <c r="A63" s="4" t="s">
        <v>267</v>
      </c>
      <c r="B63" s="5" t="s">
        <v>19</v>
      </c>
      <c r="C63" s="78"/>
      <c r="D63" s="79"/>
      <c r="E63" s="79"/>
      <c r="F63" s="28">
        <f>G63+J63</f>
        <v>0</v>
      </c>
      <c r="G63" s="78"/>
      <c r="H63" s="79"/>
      <c r="I63" s="79"/>
      <c r="J63" s="79"/>
      <c r="K63" s="79"/>
      <c r="L63" s="79"/>
      <c r="M63" s="78">
        <f t="shared" si="11"/>
        <v>0</v>
      </c>
    </row>
    <row r="64" spans="1:13" ht="123.75" customHeight="1">
      <c r="A64" s="4" t="s">
        <v>265</v>
      </c>
      <c r="B64" s="5" t="s">
        <v>140</v>
      </c>
      <c r="C64" s="28">
        <f>1000</f>
        <v>1000</v>
      </c>
      <c r="D64" s="28"/>
      <c r="E64" s="28"/>
      <c r="F64" s="28">
        <f>G64+J64</f>
        <v>0</v>
      </c>
      <c r="G64" s="78"/>
      <c r="H64" s="28"/>
      <c r="I64" s="28"/>
      <c r="J64" s="28"/>
      <c r="K64" s="28"/>
      <c r="L64" s="28"/>
      <c r="M64" s="28">
        <f t="shared" si="11"/>
        <v>1000</v>
      </c>
    </row>
    <row r="65" spans="1:13" ht="124.5" customHeight="1">
      <c r="A65" s="4" t="s">
        <v>280</v>
      </c>
      <c r="B65" s="5" t="s">
        <v>142</v>
      </c>
      <c r="C65" s="28">
        <v>0.5</v>
      </c>
      <c r="D65" s="28"/>
      <c r="E65" s="28"/>
      <c r="F65" s="28">
        <f aca="true" t="shared" si="12" ref="F65:F127">G65+J65</f>
        <v>0</v>
      </c>
      <c r="G65" s="78"/>
      <c r="H65" s="28"/>
      <c r="I65" s="28"/>
      <c r="J65" s="28"/>
      <c r="K65" s="28"/>
      <c r="L65" s="28"/>
      <c r="M65" s="28">
        <f t="shared" si="11"/>
        <v>0.5</v>
      </c>
    </row>
    <row r="66" spans="1:13" ht="105.75" customHeight="1">
      <c r="A66" s="4" t="s">
        <v>244</v>
      </c>
      <c r="B66" s="5" t="s">
        <v>143</v>
      </c>
      <c r="C66" s="28">
        <f>30</f>
        <v>30</v>
      </c>
      <c r="D66" s="28"/>
      <c r="E66" s="28"/>
      <c r="F66" s="28">
        <f t="shared" si="12"/>
        <v>0</v>
      </c>
      <c r="G66" s="78"/>
      <c r="H66" s="28"/>
      <c r="I66" s="28"/>
      <c r="J66" s="28"/>
      <c r="K66" s="28"/>
      <c r="L66" s="28"/>
      <c r="M66" s="28">
        <f t="shared" si="11"/>
        <v>30</v>
      </c>
    </row>
    <row r="67" spans="1:13" ht="63.75" customHeight="1">
      <c r="A67" s="4" t="s">
        <v>305</v>
      </c>
      <c r="B67" s="5" t="s">
        <v>144</v>
      </c>
      <c r="C67" s="28">
        <v>166.7</v>
      </c>
      <c r="D67" s="28"/>
      <c r="E67" s="28"/>
      <c r="F67" s="28">
        <f t="shared" si="12"/>
        <v>0</v>
      </c>
      <c r="G67" s="78"/>
      <c r="H67" s="28"/>
      <c r="I67" s="28"/>
      <c r="J67" s="28"/>
      <c r="K67" s="28"/>
      <c r="L67" s="28"/>
      <c r="M67" s="28">
        <f t="shared" si="11"/>
        <v>166.7</v>
      </c>
    </row>
    <row r="68" spans="1:13" ht="46.5" customHeight="1">
      <c r="A68" s="4" t="s">
        <v>24</v>
      </c>
      <c r="B68" s="5" t="s">
        <v>181</v>
      </c>
      <c r="C68" s="28">
        <f>217</f>
        <v>217</v>
      </c>
      <c r="D68" s="28"/>
      <c r="E68" s="28"/>
      <c r="F68" s="28">
        <f t="shared" si="12"/>
        <v>0</v>
      </c>
      <c r="G68" s="78"/>
      <c r="H68" s="28"/>
      <c r="I68" s="28"/>
      <c r="J68" s="28"/>
      <c r="K68" s="28"/>
      <c r="L68" s="28"/>
      <c r="M68" s="28">
        <f t="shared" si="11"/>
        <v>217</v>
      </c>
    </row>
    <row r="69" spans="1:13" ht="157.5" customHeight="1">
      <c r="A69" s="4" t="s">
        <v>112</v>
      </c>
      <c r="B69" s="5" t="s">
        <v>350</v>
      </c>
      <c r="C69" s="28">
        <f>220+289</f>
        <v>509</v>
      </c>
      <c r="D69" s="28"/>
      <c r="E69" s="28"/>
      <c r="F69" s="28">
        <f t="shared" si="12"/>
        <v>0</v>
      </c>
      <c r="G69" s="78"/>
      <c r="H69" s="28"/>
      <c r="I69" s="28"/>
      <c r="J69" s="28"/>
      <c r="K69" s="28"/>
      <c r="L69" s="28"/>
      <c r="M69" s="28">
        <f t="shared" si="11"/>
        <v>509</v>
      </c>
    </row>
    <row r="70" spans="1:13" ht="27.75" customHeight="1" hidden="1">
      <c r="A70" s="4" t="s">
        <v>296</v>
      </c>
      <c r="B70" s="5" t="s">
        <v>297</v>
      </c>
      <c r="C70" s="28">
        <f>SUM(C71:C77)</f>
        <v>26601.300000000003</v>
      </c>
      <c r="D70" s="28">
        <f aca="true" t="shared" si="13" ref="D70:L70">SUM(D71:D77)</f>
        <v>0</v>
      </c>
      <c r="E70" s="28">
        <f t="shared" si="13"/>
        <v>0</v>
      </c>
      <c r="F70" s="28">
        <f t="shared" si="12"/>
        <v>0</v>
      </c>
      <c r="G70" s="28">
        <f t="shared" si="13"/>
        <v>0</v>
      </c>
      <c r="H70" s="28">
        <f t="shared" si="13"/>
        <v>0</v>
      </c>
      <c r="I70" s="28">
        <f t="shared" si="13"/>
        <v>0</v>
      </c>
      <c r="J70" s="28">
        <f t="shared" si="13"/>
        <v>0</v>
      </c>
      <c r="K70" s="28">
        <f t="shared" si="13"/>
        <v>0</v>
      </c>
      <c r="L70" s="28">
        <f t="shared" si="13"/>
        <v>0</v>
      </c>
      <c r="M70" s="28">
        <f t="shared" si="11"/>
        <v>26601.300000000003</v>
      </c>
    </row>
    <row r="71" spans="1:13" ht="44.25" customHeight="1">
      <c r="A71" s="4" t="s">
        <v>250</v>
      </c>
      <c r="B71" s="8" t="s">
        <v>145</v>
      </c>
      <c r="C71" s="28">
        <v>300.7</v>
      </c>
      <c r="D71" s="28"/>
      <c r="E71" s="28"/>
      <c r="F71" s="28">
        <f t="shared" si="12"/>
        <v>0</v>
      </c>
      <c r="G71" s="78"/>
      <c r="H71" s="28"/>
      <c r="I71" s="28"/>
      <c r="J71" s="28"/>
      <c r="K71" s="28"/>
      <c r="L71" s="28"/>
      <c r="M71" s="28">
        <f t="shared" si="11"/>
        <v>300.7</v>
      </c>
    </row>
    <row r="72" spans="1:13" ht="43.5" customHeight="1">
      <c r="A72" s="4" t="s">
        <v>251</v>
      </c>
      <c r="B72" s="8" t="s">
        <v>173</v>
      </c>
      <c r="C72" s="28">
        <f>4300.8-739.7</f>
        <v>3561.1000000000004</v>
      </c>
      <c r="D72" s="28"/>
      <c r="E72" s="28"/>
      <c r="F72" s="28">
        <f t="shared" si="12"/>
        <v>0</v>
      </c>
      <c r="G72" s="78"/>
      <c r="H72" s="28"/>
      <c r="I72" s="28"/>
      <c r="J72" s="28"/>
      <c r="K72" s="28"/>
      <c r="L72" s="28"/>
      <c r="M72" s="28">
        <f t="shared" si="11"/>
        <v>3561.1000000000004</v>
      </c>
    </row>
    <row r="73" spans="1:13" ht="46.5" customHeight="1">
      <c r="A73" s="4" t="s">
        <v>252</v>
      </c>
      <c r="B73" s="8" t="s">
        <v>30</v>
      </c>
      <c r="C73" s="44">
        <f>19697.4-2390.5</f>
        <v>17306.9</v>
      </c>
      <c r="D73" s="28"/>
      <c r="E73" s="28"/>
      <c r="F73" s="28">
        <f t="shared" si="12"/>
        <v>0</v>
      </c>
      <c r="G73" s="78"/>
      <c r="H73" s="28"/>
      <c r="I73" s="28"/>
      <c r="J73" s="28"/>
      <c r="K73" s="28"/>
      <c r="L73" s="28"/>
      <c r="M73" s="28">
        <f t="shared" si="11"/>
        <v>17306.9</v>
      </c>
    </row>
    <row r="74" spans="1:13" ht="69.75" customHeight="1">
      <c r="A74" s="4" t="s">
        <v>253</v>
      </c>
      <c r="B74" s="8" t="s">
        <v>99</v>
      </c>
      <c r="C74" s="28">
        <v>2050.5</v>
      </c>
      <c r="D74" s="28"/>
      <c r="E74" s="28"/>
      <c r="F74" s="28">
        <f t="shared" si="12"/>
        <v>0</v>
      </c>
      <c r="G74" s="78"/>
      <c r="H74" s="28"/>
      <c r="I74" s="28"/>
      <c r="J74" s="28"/>
      <c r="K74" s="28"/>
      <c r="L74" s="28"/>
      <c r="M74" s="28">
        <f t="shared" si="11"/>
        <v>2050.5</v>
      </c>
    </row>
    <row r="75" spans="1:13" ht="47.25" customHeight="1">
      <c r="A75" s="4" t="s">
        <v>254</v>
      </c>
      <c r="B75" s="5" t="s">
        <v>182</v>
      </c>
      <c r="C75" s="28">
        <v>2700.7</v>
      </c>
      <c r="D75" s="28"/>
      <c r="E75" s="28"/>
      <c r="F75" s="28">
        <f t="shared" si="12"/>
        <v>0</v>
      </c>
      <c r="G75" s="78"/>
      <c r="H75" s="28"/>
      <c r="I75" s="28"/>
      <c r="J75" s="28"/>
      <c r="K75" s="28"/>
      <c r="L75" s="28"/>
      <c r="M75" s="28">
        <f t="shared" si="11"/>
        <v>2700.7</v>
      </c>
    </row>
    <row r="76" spans="1:13" ht="43.5" customHeight="1">
      <c r="A76" s="4" t="s">
        <v>281</v>
      </c>
      <c r="B76" s="5" t="s">
        <v>183</v>
      </c>
      <c r="C76" s="28">
        <v>621.2</v>
      </c>
      <c r="D76" s="28"/>
      <c r="E76" s="28"/>
      <c r="F76" s="28">
        <f t="shared" si="12"/>
        <v>0</v>
      </c>
      <c r="G76" s="78"/>
      <c r="H76" s="28"/>
      <c r="I76" s="28"/>
      <c r="J76" s="28"/>
      <c r="K76" s="28"/>
      <c r="L76" s="28"/>
      <c r="M76" s="28">
        <f t="shared" si="11"/>
        <v>621.2</v>
      </c>
    </row>
    <row r="77" spans="1:13" ht="39" customHeight="1">
      <c r="A77" s="4" t="s">
        <v>105</v>
      </c>
      <c r="B77" s="8" t="s">
        <v>108</v>
      </c>
      <c r="C77" s="28">
        <v>60.2</v>
      </c>
      <c r="D77" s="28"/>
      <c r="E77" s="28"/>
      <c r="F77" s="28">
        <f t="shared" si="12"/>
        <v>0</v>
      </c>
      <c r="G77" s="78"/>
      <c r="H77" s="28"/>
      <c r="I77" s="28"/>
      <c r="J77" s="28"/>
      <c r="K77" s="28"/>
      <c r="L77" s="28"/>
      <c r="M77" s="28">
        <f t="shared" si="11"/>
        <v>60.2</v>
      </c>
    </row>
    <row r="78" spans="1:13" ht="24" customHeight="1" hidden="1">
      <c r="A78" s="4" t="s">
        <v>298</v>
      </c>
      <c r="B78" s="5" t="s">
        <v>299</v>
      </c>
      <c r="C78" s="28">
        <f>SUM(C79:C117)</f>
        <v>3450.6069299999995</v>
      </c>
      <c r="D78" s="28">
        <f>D79+D80+D81+D82+D103+D105+D107+D108+D117+D104</f>
        <v>0</v>
      </c>
      <c r="E78" s="28">
        <f>E79+E80+E81+E82+E103+E105+E107+E108+E117+E104</f>
        <v>0</v>
      </c>
      <c r="F78" s="28">
        <f>G78+J78</f>
        <v>0</v>
      </c>
      <c r="G78" s="28">
        <f aca="true" t="shared" si="14" ref="G78:L78">G79+G80+G81+G82+G103+G105+G107+G108+G117+G104+G93+G91+G88+G87</f>
        <v>0</v>
      </c>
      <c r="H78" s="28">
        <f t="shared" si="14"/>
        <v>0</v>
      </c>
      <c r="I78" s="28">
        <f t="shared" si="14"/>
        <v>0</v>
      </c>
      <c r="J78" s="28">
        <f t="shared" si="14"/>
        <v>0</v>
      </c>
      <c r="K78" s="28">
        <f t="shared" si="14"/>
        <v>0</v>
      </c>
      <c r="L78" s="28">
        <f t="shared" si="14"/>
        <v>0</v>
      </c>
      <c r="M78" s="28">
        <f t="shared" si="11"/>
        <v>3450.6069299999995</v>
      </c>
    </row>
    <row r="79" spans="1:13" ht="52.5" customHeight="1">
      <c r="A79" s="4" t="s">
        <v>229</v>
      </c>
      <c r="B79" s="5" t="s">
        <v>184</v>
      </c>
      <c r="C79" s="28">
        <v>1504.1</v>
      </c>
      <c r="D79" s="28"/>
      <c r="E79" s="28"/>
      <c r="F79" s="28">
        <f t="shared" si="12"/>
        <v>0</v>
      </c>
      <c r="G79" s="78"/>
      <c r="H79" s="28"/>
      <c r="I79" s="28"/>
      <c r="J79" s="28"/>
      <c r="K79" s="28"/>
      <c r="L79" s="28"/>
      <c r="M79" s="28">
        <f aca="true" t="shared" si="15" ref="M79:M112">C79+F79</f>
        <v>1504.1</v>
      </c>
    </row>
    <row r="80" spans="1:13" ht="60" customHeight="1">
      <c r="A80" s="4" t="s">
        <v>228</v>
      </c>
      <c r="B80" s="8" t="s">
        <v>207</v>
      </c>
      <c r="C80" s="28">
        <f>480+290.8</f>
        <v>770.8</v>
      </c>
      <c r="D80" s="28"/>
      <c r="E80" s="28"/>
      <c r="F80" s="28">
        <f t="shared" si="12"/>
        <v>0</v>
      </c>
      <c r="G80" s="78"/>
      <c r="H80" s="28"/>
      <c r="I80" s="28"/>
      <c r="J80" s="28"/>
      <c r="K80" s="28"/>
      <c r="L80" s="28"/>
      <c r="M80" s="28">
        <f t="shared" si="15"/>
        <v>770.8</v>
      </c>
    </row>
    <row r="81" spans="1:13" s="32" customFormat="1" ht="79.5" customHeight="1">
      <c r="A81" s="4" t="s">
        <v>348</v>
      </c>
      <c r="B81" s="8" t="s">
        <v>59</v>
      </c>
      <c r="C81" s="28">
        <v>0.2</v>
      </c>
      <c r="D81" s="28"/>
      <c r="E81" s="28"/>
      <c r="F81" s="28">
        <f t="shared" si="12"/>
        <v>0</v>
      </c>
      <c r="G81" s="78"/>
      <c r="H81" s="28"/>
      <c r="I81" s="28"/>
      <c r="J81" s="28"/>
      <c r="K81" s="28"/>
      <c r="L81" s="28"/>
      <c r="M81" s="28">
        <f t="shared" si="15"/>
        <v>0.2</v>
      </c>
    </row>
    <row r="82" spans="1:14" ht="40.5" customHeight="1">
      <c r="A82" s="4" t="s">
        <v>233</v>
      </c>
      <c r="B82" s="5" t="s">
        <v>157</v>
      </c>
      <c r="C82" s="28">
        <f>686.9-48.08507+67.998</f>
        <v>706.81293</v>
      </c>
      <c r="D82" s="28"/>
      <c r="E82" s="28"/>
      <c r="F82" s="28">
        <f t="shared" si="12"/>
        <v>0</v>
      </c>
      <c r="G82" s="28"/>
      <c r="H82" s="28"/>
      <c r="I82" s="28"/>
      <c r="J82" s="28"/>
      <c r="K82" s="28"/>
      <c r="L82" s="28"/>
      <c r="M82" s="28">
        <f t="shared" si="15"/>
        <v>706.81293</v>
      </c>
      <c r="N82" s="61"/>
    </row>
    <row r="83" spans="1:13" ht="86.25" customHeight="1" hidden="1">
      <c r="A83" s="4" t="s">
        <v>233</v>
      </c>
      <c r="B83" s="25" t="s">
        <v>158</v>
      </c>
      <c r="C83" s="28">
        <v>0</v>
      </c>
      <c r="D83" s="28"/>
      <c r="E83" s="28"/>
      <c r="F83" s="28">
        <f t="shared" si="12"/>
        <v>0</v>
      </c>
      <c r="G83" s="28"/>
      <c r="H83" s="28"/>
      <c r="I83" s="28"/>
      <c r="J83" s="28"/>
      <c r="K83" s="28"/>
      <c r="L83" s="28"/>
      <c r="M83" s="58">
        <f t="shared" si="15"/>
        <v>0</v>
      </c>
    </row>
    <row r="84" spans="1:13" ht="48" customHeight="1">
      <c r="A84" s="4" t="s">
        <v>233</v>
      </c>
      <c r="B84" s="25" t="s">
        <v>2</v>
      </c>
      <c r="C84" s="28">
        <f>50+40</f>
        <v>90</v>
      </c>
      <c r="D84" s="28"/>
      <c r="E84" s="28"/>
      <c r="F84" s="28">
        <f t="shared" si="12"/>
        <v>0</v>
      </c>
      <c r="G84" s="28"/>
      <c r="H84" s="28"/>
      <c r="I84" s="28"/>
      <c r="J84" s="28"/>
      <c r="K84" s="28"/>
      <c r="L84" s="28"/>
      <c r="M84" s="58">
        <f t="shared" si="15"/>
        <v>90</v>
      </c>
    </row>
    <row r="85" spans="1:13" ht="64.5" customHeight="1">
      <c r="A85" s="4" t="s">
        <v>233</v>
      </c>
      <c r="B85" s="25" t="s">
        <v>159</v>
      </c>
      <c r="C85" s="28">
        <v>5</v>
      </c>
      <c r="D85" s="28"/>
      <c r="E85" s="28"/>
      <c r="F85" s="28">
        <f t="shared" si="12"/>
        <v>0</v>
      </c>
      <c r="G85" s="28"/>
      <c r="H85" s="28"/>
      <c r="I85" s="28"/>
      <c r="J85" s="28"/>
      <c r="K85" s="28"/>
      <c r="L85" s="28"/>
      <c r="M85" s="58">
        <f t="shared" si="15"/>
        <v>5</v>
      </c>
    </row>
    <row r="86" spans="1:13" ht="56.25">
      <c r="A86" s="4" t="s">
        <v>233</v>
      </c>
      <c r="B86" s="25" t="s">
        <v>160</v>
      </c>
      <c r="C86" s="28">
        <v>30</v>
      </c>
      <c r="D86" s="28"/>
      <c r="E86" s="28"/>
      <c r="F86" s="28">
        <f t="shared" si="12"/>
        <v>0</v>
      </c>
      <c r="G86" s="28"/>
      <c r="H86" s="28"/>
      <c r="I86" s="28"/>
      <c r="J86" s="28"/>
      <c r="K86" s="28"/>
      <c r="L86" s="28"/>
      <c r="M86" s="58">
        <f t="shared" si="15"/>
        <v>30</v>
      </c>
    </row>
    <row r="87" spans="1:13" ht="66" customHeight="1" hidden="1">
      <c r="A87" s="4" t="s">
        <v>233</v>
      </c>
      <c r="B87" s="5" t="s">
        <v>161</v>
      </c>
      <c r="C87" s="28">
        <v>0</v>
      </c>
      <c r="D87" s="28"/>
      <c r="E87" s="28"/>
      <c r="F87" s="28">
        <f t="shared" si="12"/>
        <v>0</v>
      </c>
      <c r="G87" s="28"/>
      <c r="H87" s="28"/>
      <c r="I87" s="28"/>
      <c r="J87" s="28">
        <v>0</v>
      </c>
      <c r="K87" s="28">
        <v>0</v>
      </c>
      <c r="L87" s="28"/>
      <c r="M87" s="58">
        <f t="shared" si="15"/>
        <v>0</v>
      </c>
    </row>
    <row r="88" spans="1:13" ht="63.75" customHeight="1" hidden="1">
      <c r="A88" s="4" t="s">
        <v>233</v>
      </c>
      <c r="B88" s="5" t="s">
        <v>162</v>
      </c>
      <c r="C88" s="28">
        <v>0</v>
      </c>
      <c r="D88" s="28"/>
      <c r="E88" s="28"/>
      <c r="F88" s="28">
        <f t="shared" si="12"/>
        <v>0</v>
      </c>
      <c r="G88" s="28"/>
      <c r="H88" s="28"/>
      <c r="I88" s="28"/>
      <c r="J88" s="28"/>
      <c r="K88" s="28"/>
      <c r="L88" s="28"/>
      <c r="M88" s="58">
        <f t="shared" si="15"/>
        <v>0</v>
      </c>
    </row>
    <row r="89" spans="1:13" ht="0.75" customHeight="1" hidden="1">
      <c r="A89" s="4" t="s">
        <v>233</v>
      </c>
      <c r="B89" s="5" t="s">
        <v>71</v>
      </c>
      <c r="C89" s="28"/>
      <c r="D89" s="28"/>
      <c r="E89" s="28"/>
      <c r="F89" s="28">
        <f t="shared" si="12"/>
        <v>0</v>
      </c>
      <c r="G89" s="28"/>
      <c r="H89" s="28"/>
      <c r="I89" s="28"/>
      <c r="J89" s="28"/>
      <c r="K89" s="28"/>
      <c r="L89" s="28"/>
      <c r="M89" s="58">
        <f t="shared" si="15"/>
        <v>0</v>
      </c>
    </row>
    <row r="90" spans="1:13" ht="7.5" customHeight="1" hidden="1">
      <c r="A90" s="4" t="s">
        <v>233</v>
      </c>
      <c r="B90" s="8" t="s">
        <v>72</v>
      </c>
      <c r="C90" s="28"/>
      <c r="D90" s="28"/>
      <c r="E90" s="28"/>
      <c r="F90" s="28">
        <f t="shared" si="12"/>
        <v>0</v>
      </c>
      <c r="G90" s="28"/>
      <c r="H90" s="28"/>
      <c r="I90" s="28"/>
      <c r="J90" s="28"/>
      <c r="K90" s="28"/>
      <c r="L90" s="28"/>
      <c r="M90" s="58">
        <f t="shared" si="15"/>
        <v>0</v>
      </c>
    </row>
    <row r="91" spans="1:13" ht="63" customHeight="1" hidden="1">
      <c r="A91" s="4" t="s">
        <v>233</v>
      </c>
      <c r="B91" s="25" t="s">
        <v>163</v>
      </c>
      <c r="C91" s="28"/>
      <c r="D91" s="28"/>
      <c r="E91" s="28"/>
      <c r="F91" s="28">
        <f t="shared" si="12"/>
        <v>0</v>
      </c>
      <c r="G91" s="28"/>
      <c r="H91" s="28"/>
      <c r="I91" s="28"/>
      <c r="J91" s="28">
        <v>0</v>
      </c>
      <c r="K91" s="28">
        <v>0</v>
      </c>
      <c r="L91" s="28"/>
      <c r="M91" s="58">
        <f t="shared" si="15"/>
        <v>0</v>
      </c>
    </row>
    <row r="92" spans="1:13" ht="56.25" hidden="1">
      <c r="A92" s="4" t="s">
        <v>233</v>
      </c>
      <c r="B92" s="25" t="s">
        <v>73</v>
      </c>
      <c r="C92" s="28"/>
      <c r="D92" s="28"/>
      <c r="E92" s="28"/>
      <c r="F92" s="28">
        <f t="shared" si="12"/>
        <v>0</v>
      </c>
      <c r="G92" s="28"/>
      <c r="H92" s="28"/>
      <c r="I92" s="28"/>
      <c r="J92" s="28"/>
      <c r="K92" s="28"/>
      <c r="L92" s="28"/>
      <c r="M92" s="58">
        <f t="shared" si="15"/>
        <v>0</v>
      </c>
    </row>
    <row r="93" spans="1:13" ht="69.75" customHeight="1" hidden="1">
      <c r="A93" s="4" t="s">
        <v>233</v>
      </c>
      <c r="B93" s="5" t="s">
        <v>164</v>
      </c>
      <c r="C93" s="28"/>
      <c r="D93" s="28"/>
      <c r="E93" s="28"/>
      <c r="F93" s="28">
        <f t="shared" si="12"/>
        <v>0</v>
      </c>
      <c r="G93" s="28"/>
      <c r="H93" s="28"/>
      <c r="I93" s="28"/>
      <c r="J93" s="28">
        <v>0</v>
      </c>
      <c r="K93" s="28">
        <v>0</v>
      </c>
      <c r="L93" s="28"/>
      <c r="M93" s="28">
        <f t="shared" si="15"/>
        <v>0</v>
      </c>
    </row>
    <row r="94" spans="1:13" ht="36.75" customHeight="1" hidden="1">
      <c r="A94" s="4" t="s">
        <v>233</v>
      </c>
      <c r="B94" s="5" t="s">
        <v>15</v>
      </c>
      <c r="C94" s="28"/>
      <c r="D94" s="28"/>
      <c r="E94" s="28"/>
      <c r="F94" s="28">
        <f t="shared" si="12"/>
        <v>0</v>
      </c>
      <c r="G94" s="28"/>
      <c r="H94" s="28"/>
      <c r="I94" s="28"/>
      <c r="J94" s="28"/>
      <c r="K94" s="28"/>
      <c r="L94" s="28"/>
      <c r="M94" s="28">
        <f t="shared" si="15"/>
        <v>0</v>
      </c>
    </row>
    <row r="95" spans="1:13" ht="56.25" hidden="1">
      <c r="A95" s="4" t="s">
        <v>233</v>
      </c>
      <c r="B95" s="5" t="s">
        <v>43</v>
      </c>
      <c r="C95" s="28"/>
      <c r="D95" s="28"/>
      <c r="E95" s="28"/>
      <c r="F95" s="28">
        <f t="shared" si="12"/>
        <v>0</v>
      </c>
      <c r="G95" s="28"/>
      <c r="H95" s="28"/>
      <c r="I95" s="28"/>
      <c r="J95" s="28"/>
      <c r="K95" s="28"/>
      <c r="L95" s="28"/>
      <c r="M95" s="28">
        <f t="shared" si="15"/>
        <v>0</v>
      </c>
    </row>
    <row r="96" spans="1:13" ht="56.25" hidden="1">
      <c r="A96" s="4" t="s">
        <v>233</v>
      </c>
      <c r="B96" s="5" t="s">
        <v>62</v>
      </c>
      <c r="C96" s="28"/>
      <c r="D96" s="28"/>
      <c r="E96" s="28"/>
      <c r="F96" s="28">
        <f t="shared" si="12"/>
        <v>0</v>
      </c>
      <c r="G96" s="28"/>
      <c r="H96" s="28"/>
      <c r="I96" s="28"/>
      <c r="J96" s="28"/>
      <c r="K96" s="28"/>
      <c r="L96" s="28"/>
      <c r="M96" s="28">
        <f t="shared" si="15"/>
        <v>0</v>
      </c>
    </row>
    <row r="97" spans="1:13" ht="37.5" hidden="1">
      <c r="A97" s="4" t="s">
        <v>233</v>
      </c>
      <c r="B97" s="5" t="s">
        <v>16</v>
      </c>
      <c r="C97" s="28"/>
      <c r="D97" s="28"/>
      <c r="E97" s="28"/>
      <c r="F97" s="28">
        <f t="shared" si="12"/>
        <v>0</v>
      </c>
      <c r="G97" s="28"/>
      <c r="H97" s="28"/>
      <c r="I97" s="28"/>
      <c r="J97" s="28"/>
      <c r="K97" s="28"/>
      <c r="L97" s="28"/>
      <c r="M97" s="28">
        <f t="shared" si="15"/>
        <v>0</v>
      </c>
    </row>
    <row r="98" spans="1:13" ht="37.5" hidden="1">
      <c r="A98" s="4" t="s">
        <v>233</v>
      </c>
      <c r="B98" s="5" t="s">
        <v>109</v>
      </c>
      <c r="C98" s="28"/>
      <c r="D98" s="28"/>
      <c r="E98" s="28"/>
      <c r="F98" s="28">
        <f t="shared" si="12"/>
        <v>0</v>
      </c>
      <c r="G98" s="28"/>
      <c r="H98" s="28"/>
      <c r="I98" s="28"/>
      <c r="J98" s="28"/>
      <c r="K98" s="28"/>
      <c r="L98" s="28"/>
      <c r="M98" s="28">
        <f t="shared" si="15"/>
        <v>0</v>
      </c>
    </row>
    <row r="99" spans="1:13" ht="37.5" hidden="1">
      <c r="A99" s="4" t="s">
        <v>233</v>
      </c>
      <c r="B99" s="5" t="s">
        <v>63</v>
      </c>
      <c r="C99" s="28"/>
      <c r="D99" s="28"/>
      <c r="E99" s="28"/>
      <c r="F99" s="28">
        <f t="shared" si="12"/>
        <v>0</v>
      </c>
      <c r="G99" s="28"/>
      <c r="H99" s="28"/>
      <c r="I99" s="28"/>
      <c r="J99" s="28"/>
      <c r="K99" s="28"/>
      <c r="L99" s="28"/>
      <c r="M99" s="28">
        <f t="shared" si="15"/>
        <v>0</v>
      </c>
    </row>
    <row r="100" spans="1:13" ht="18.75" hidden="1">
      <c r="A100" s="4" t="s">
        <v>233</v>
      </c>
      <c r="B100" s="5" t="s">
        <v>81</v>
      </c>
      <c r="C100" s="28"/>
      <c r="D100" s="28"/>
      <c r="E100" s="28"/>
      <c r="F100" s="28">
        <f t="shared" si="12"/>
        <v>0</v>
      </c>
      <c r="G100" s="28"/>
      <c r="H100" s="28"/>
      <c r="I100" s="28"/>
      <c r="J100" s="28"/>
      <c r="K100" s="28"/>
      <c r="L100" s="28"/>
      <c r="M100" s="28">
        <f t="shared" si="15"/>
        <v>0</v>
      </c>
    </row>
    <row r="101" spans="1:13" ht="18.75" hidden="1">
      <c r="A101" s="4" t="s">
        <v>233</v>
      </c>
      <c r="B101" s="5" t="s">
        <v>96</v>
      </c>
      <c r="C101" s="28"/>
      <c r="D101" s="28"/>
      <c r="E101" s="28"/>
      <c r="F101" s="28">
        <f t="shared" si="12"/>
        <v>0</v>
      </c>
      <c r="G101" s="28"/>
      <c r="H101" s="28"/>
      <c r="I101" s="28"/>
      <c r="J101" s="28"/>
      <c r="K101" s="28"/>
      <c r="L101" s="28"/>
      <c r="M101" s="28">
        <f t="shared" si="15"/>
        <v>0</v>
      </c>
    </row>
    <row r="102" spans="1:13" ht="37.5" hidden="1">
      <c r="A102" s="4" t="s">
        <v>233</v>
      </c>
      <c r="B102" s="11" t="s">
        <v>339</v>
      </c>
      <c r="C102" s="28"/>
      <c r="D102" s="28"/>
      <c r="E102" s="28"/>
      <c r="F102" s="28">
        <f t="shared" si="12"/>
        <v>0</v>
      </c>
      <c r="G102" s="28"/>
      <c r="H102" s="28"/>
      <c r="I102" s="28"/>
      <c r="J102" s="28"/>
      <c r="K102" s="28"/>
      <c r="L102" s="28"/>
      <c r="M102" s="28">
        <f t="shared" si="15"/>
        <v>0</v>
      </c>
    </row>
    <row r="103" spans="1:13" ht="52.5" customHeight="1">
      <c r="A103" s="4" t="s">
        <v>233</v>
      </c>
      <c r="B103" s="13" t="s">
        <v>358</v>
      </c>
      <c r="C103" s="28">
        <v>39.21</v>
      </c>
      <c r="D103" s="28"/>
      <c r="E103" s="28"/>
      <c r="F103" s="28">
        <f t="shared" si="12"/>
        <v>0</v>
      </c>
      <c r="G103" s="28"/>
      <c r="H103" s="28"/>
      <c r="I103" s="28"/>
      <c r="J103" s="28"/>
      <c r="K103" s="28"/>
      <c r="L103" s="28"/>
      <c r="M103" s="28">
        <f t="shared" si="15"/>
        <v>39.21</v>
      </c>
    </row>
    <row r="104" spans="1:13" ht="75" hidden="1">
      <c r="A104" s="4" t="s">
        <v>233</v>
      </c>
      <c r="B104" s="25" t="s">
        <v>125</v>
      </c>
      <c r="C104" s="28"/>
      <c r="D104" s="28"/>
      <c r="E104" s="28"/>
      <c r="F104" s="28">
        <f t="shared" si="12"/>
        <v>0</v>
      </c>
      <c r="G104" s="78"/>
      <c r="H104" s="28"/>
      <c r="I104" s="28"/>
      <c r="J104" s="28"/>
      <c r="K104" s="28"/>
      <c r="L104" s="28"/>
      <c r="M104" s="28">
        <f t="shared" si="15"/>
        <v>0</v>
      </c>
    </row>
    <row r="105" spans="1:13" ht="50.25" customHeight="1">
      <c r="A105" s="4" t="s">
        <v>230</v>
      </c>
      <c r="B105" s="5" t="s">
        <v>188</v>
      </c>
      <c r="C105" s="44">
        <f>144.2+33.5</f>
        <v>177.7</v>
      </c>
      <c r="D105" s="28"/>
      <c r="E105" s="28"/>
      <c r="F105" s="28">
        <f t="shared" si="12"/>
        <v>0</v>
      </c>
      <c r="G105" s="78"/>
      <c r="H105" s="28"/>
      <c r="I105" s="28"/>
      <c r="J105" s="28"/>
      <c r="K105" s="28"/>
      <c r="L105" s="28"/>
      <c r="M105" s="28">
        <f t="shared" si="15"/>
        <v>177.7</v>
      </c>
    </row>
    <row r="106" spans="1:13" ht="0.75" customHeight="1" hidden="1">
      <c r="A106" s="4" t="s">
        <v>230</v>
      </c>
      <c r="B106" s="5" t="s">
        <v>106</v>
      </c>
      <c r="C106" s="44"/>
      <c r="D106" s="28"/>
      <c r="E106" s="28"/>
      <c r="F106" s="28">
        <f>G106+J106</f>
        <v>0</v>
      </c>
      <c r="G106" s="78"/>
      <c r="H106" s="28"/>
      <c r="I106" s="28"/>
      <c r="J106" s="28"/>
      <c r="K106" s="28"/>
      <c r="L106" s="28"/>
      <c r="M106" s="28">
        <f>C106+F106</f>
        <v>0</v>
      </c>
    </row>
    <row r="107" spans="1:13" ht="44.25" customHeight="1">
      <c r="A107" s="4" t="s">
        <v>234</v>
      </c>
      <c r="B107" s="5" t="s">
        <v>124</v>
      </c>
      <c r="C107" s="52">
        <f>27.712-0.5</f>
        <v>27.212</v>
      </c>
      <c r="D107" s="28"/>
      <c r="E107" s="28"/>
      <c r="F107" s="28">
        <f t="shared" si="12"/>
        <v>0</v>
      </c>
      <c r="G107" s="28"/>
      <c r="H107" s="28"/>
      <c r="I107" s="28"/>
      <c r="J107" s="28"/>
      <c r="K107" s="28"/>
      <c r="L107" s="28"/>
      <c r="M107" s="28">
        <f t="shared" si="15"/>
        <v>27.212</v>
      </c>
    </row>
    <row r="108" spans="1:13" ht="67.5" customHeight="1">
      <c r="A108" s="4" t="s">
        <v>234</v>
      </c>
      <c r="B108" s="5" t="s">
        <v>359</v>
      </c>
      <c r="C108" s="28">
        <f>79.3+3.87-4.998</f>
        <v>78.172</v>
      </c>
      <c r="D108" s="28"/>
      <c r="E108" s="28"/>
      <c r="F108" s="28">
        <f t="shared" si="12"/>
        <v>0</v>
      </c>
      <c r="G108" s="28"/>
      <c r="H108" s="28"/>
      <c r="I108" s="28"/>
      <c r="J108" s="28"/>
      <c r="K108" s="28"/>
      <c r="L108" s="28"/>
      <c r="M108" s="28">
        <f t="shared" si="15"/>
        <v>78.172</v>
      </c>
    </row>
    <row r="109" spans="1:13" ht="118.5" customHeight="1" hidden="1">
      <c r="A109" s="4" t="s">
        <v>234</v>
      </c>
      <c r="B109" s="5" t="s">
        <v>74</v>
      </c>
      <c r="C109" s="28"/>
      <c r="D109" s="28"/>
      <c r="E109" s="28"/>
      <c r="F109" s="28">
        <f t="shared" si="12"/>
        <v>0</v>
      </c>
      <c r="G109" s="78"/>
      <c r="H109" s="28"/>
      <c r="I109" s="28"/>
      <c r="J109" s="28"/>
      <c r="K109" s="28"/>
      <c r="L109" s="28"/>
      <c r="M109" s="28">
        <f t="shared" si="15"/>
        <v>0</v>
      </c>
    </row>
    <row r="110" spans="1:13" ht="30.75" customHeight="1" hidden="1">
      <c r="A110" s="4" t="s">
        <v>234</v>
      </c>
      <c r="B110" s="5" t="s">
        <v>75</v>
      </c>
      <c r="C110" s="28"/>
      <c r="D110" s="28"/>
      <c r="E110" s="28"/>
      <c r="F110" s="28">
        <f t="shared" si="12"/>
        <v>0</v>
      </c>
      <c r="G110" s="78"/>
      <c r="H110" s="28"/>
      <c r="I110" s="28"/>
      <c r="J110" s="28"/>
      <c r="K110" s="28"/>
      <c r="L110" s="28"/>
      <c r="M110" s="28">
        <f t="shared" si="15"/>
        <v>0</v>
      </c>
    </row>
    <row r="111" spans="1:13" ht="30.75" customHeight="1" hidden="1">
      <c r="A111" s="4" t="s">
        <v>234</v>
      </c>
      <c r="B111" s="5" t="s">
        <v>329</v>
      </c>
      <c r="C111" s="28"/>
      <c r="D111" s="28"/>
      <c r="E111" s="28"/>
      <c r="F111" s="28">
        <f t="shared" si="12"/>
        <v>0</v>
      </c>
      <c r="G111" s="78"/>
      <c r="H111" s="28"/>
      <c r="I111" s="28"/>
      <c r="J111" s="28"/>
      <c r="K111" s="28"/>
      <c r="L111" s="28"/>
      <c r="M111" s="28">
        <f t="shared" si="15"/>
        <v>0</v>
      </c>
    </row>
    <row r="112" spans="1:13" ht="30.75" customHeight="1" hidden="1">
      <c r="A112" s="4" t="s">
        <v>234</v>
      </c>
      <c r="B112" s="5" t="s">
        <v>328</v>
      </c>
      <c r="C112" s="28"/>
      <c r="D112" s="28"/>
      <c r="E112" s="28"/>
      <c r="F112" s="28">
        <f t="shared" si="12"/>
        <v>0</v>
      </c>
      <c r="G112" s="78"/>
      <c r="H112" s="28"/>
      <c r="I112" s="28"/>
      <c r="J112" s="28"/>
      <c r="K112" s="28"/>
      <c r="L112" s="28"/>
      <c r="M112" s="28">
        <f t="shared" si="15"/>
        <v>0</v>
      </c>
    </row>
    <row r="113" spans="1:13" ht="57" customHeight="1" hidden="1">
      <c r="A113" s="4" t="s">
        <v>233</v>
      </c>
      <c r="B113" s="5" t="s">
        <v>122</v>
      </c>
      <c r="C113" s="28"/>
      <c r="D113" s="28"/>
      <c r="E113" s="28"/>
      <c r="F113" s="28">
        <f t="shared" si="12"/>
        <v>0</v>
      </c>
      <c r="G113" s="28"/>
      <c r="H113" s="28"/>
      <c r="I113" s="28"/>
      <c r="J113" s="28"/>
      <c r="K113" s="28"/>
      <c r="L113" s="28"/>
      <c r="M113" s="28">
        <f>C113+F113</f>
        <v>0</v>
      </c>
    </row>
    <row r="114" spans="1:13" ht="54" customHeight="1" hidden="1">
      <c r="A114" s="4" t="s">
        <v>234</v>
      </c>
      <c r="B114" s="5" t="s">
        <v>77</v>
      </c>
      <c r="C114" s="28"/>
      <c r="D114" s="28"/>
      <c r="E114" s="28"/>
      <c r="F114" s="28">
        <f t="shared" si="12"/>
        <v>0</v>
      </c>
      <c r="G114" s="78"/>
      <c r="H114" s="28"/>
      <c r="I114" s="28"/>
      <c r="J114" s="28"/>
      <c r="K114" s="28"/>
      <c r="L114" s="28"/>
      <c r="M114" s="28">
        <f aca="true" t="shared" si="16" ref="M114:M147">C114+F114</f>
        <v>0</v>
      </c>
    </row>
    <row r="115" spans="1:13" ht="120" customHeight="1" hidden="1">
      <c r="A115" s="4" t="s">
        <v>234</v>
      </c>
      <c r="B115" s="8" t="s">
        <v>80</v>
      </c>
      <c r="C115" s="28"/>
      <c r="D115" s="28"/>
      <c r="E115" s="28"/>
      <c r="F115" s="28">
        <f t="shared" si="12"/>
        <v>0</v>
      </c>
      <c r="G115" s="78"/>
      <c r="H115" s="28"/>
      <c r="I115" s="28"/>
      <c r="J115" s="28"/>
      <c r="K115" s="28"/>
      <c r="L115" s="28"/>
      <c r="M115" s="28">
        <f t="shared" si="16"/>
        <v>0</v>
      </c>
    </row>
    <row r="116" spans="1:13" ht="15" customHeight="1" hidden="1">
      <c r="A116" s="4" t="s">
        <v>234</v>
      </c>
      <c r="B116" s="8" t="s">
        <v>199</v>
      </c>
      <c r="C116" s="28"/>
      <c r="D116" s="28"/>
      <c r="E116" s="28"/>
      <c r="F116" s="28">
        <f t="shared" si="12"/>
        <v>0</v>
      </c>
      <c r="G116" s="78"/>
      <c r="H116" s="28"/>
      <c r="I116" s="28"/>
      <c r="J116" s="28"/>
      <c r="K116" s="28"/>
      <c r="L116" s="28"/>
      <c r="M116" s="28">
        <f t="shared" si="16"/>
        <v>0</v>
      </c>
    </row>
    <row r="117" spans="1:13" ht="64.5" customHeight="1">
      <c r="A117" s="4" t="s">
        <v>274</v>
      </c>
      <c r="B117" s="8" t="s">
        <v>83</v>
      </c>
      <c r="C117" s="28">
        <v>21.4</v>
      </c>
      <c r="D117" s="28"/>
      <c r="E117" s="28"/>
      <c r="F117" s="28">
        <f t="shared" si="12"/>
        <v>0</v>
      </c>
      <c r="G117" s="78"/>
      <c r="H117" s="28"/>
      <c r="I117" s="28"/>
      <c r="J117" s="28"/>
      <c r="K117" s="28"/>
      <c r="L117" s="28"/>
      <c r="M117" s="28">
        <f t="shared" si="16"/>
        <v>21.4</v>
      </c>
    </row>
    <row r="118" spans="1:13" ht="18.75" hidden="1">
      <c r="A118" s="4" t="s">
        <v>300</v>
      </c>
      <c r="B118" s="5" t="s">
        <v>220</v>
      </c>
      <c r="C118" s="28">
        <f>SUM(C119:C121)+C122+C126</f>
        <v>1961.86415</v>
      </c>
      <c r="D118" s="28">
        <f>SUM(D119:D126)-D122-D126</f>
        <v>1061.996</v>
      </c>
      <c r="E118" s="28">
        <f>SUM(E119:E126)-E122-E126</f>
        <v>40.8</v>
      </c>
      <c r="F118" s="28">
        <f t="shared" si="12"/>
        <v>49.44018</v>
      </c>
      <c r="G118" s="28">
        <f aca="true" t="shared" si="17" ref="G118:L118">SUM(G119:G126)-G122-G126</f>
        <v>32.3</v>
      </c>
      <c r="H118" s="28">
        <f t="shared" si="17"/>
        <v>0</v>
      </c>
      <c r="I118" s="28">
        <f t="shared" si="17"/>
        <v>0</v>
      </c>
      <c r="J118" s="28">
        <f t="shared" si="17"/>
        <v>17.14018</v>
      </c>
      <c r="K118" s="28">
        <f t="shared" si="17"/>
        <v>4.14018</v>
      </c>
      <c r="L118" s="28">
        <f t="shared" si="17"/>
        <v>0</v>
      </c>
      <c r="M118" s="28">
        <f t="shared" si="16"/>
        <v>2011.3043300000002</v>
      </c>
    </row>
    <row r="119" spans="1:13" ht="106.5" customHeight="1">
      <c r="A119" s="4" t="s">
        <v>226</v>
      </c>
      <c r="B119" s="8" t="s">
        <v>201</v>
      </c>
      <c r="C119" s="28">
        <f>1692.4+28.46415+20</f>
        <v>1740.86415</v>
      </c>
      <c r="D119" s="28">
        <v>1061.996</v>
      </c>
      <c r="E119" s="28">
        <v>40.8</v>
      </c>
      <c r="F119" s="57">
        <f>G119+J119</f>
        <v>49.44018</v>
      </c>
      <c r="G119" s="28">
        <v>32.3</v>
      </c>
      <c r="H119" s="28"/>
      <c r="I119" s="28"/>
      <c r="J119" s="28">
        <f>13+4.14018</f>
        <v>17.14018</v>
      </c>
      <c r="K119" s="44">
        <v>4.14018</v>
      </c>
      <c r="L119" s="44"/>
      <c r="M119" s="58">
        <f>C119+F119</f>
        <v>1790.3043300000002</v>
      </c>
    </row>
    <row r="120" spans="1:13" s="62" customFormat="1" ht="102" customHeight="1" hidden="1">
      <c r="A120" s="4" t="s">
        <v>226</v>
      </c>
      <c r="B120" s="25" t="s">
        <v>289</v>
      </c>
      <c r="C120" s="28"/>
      <c r="D120" s="28"/>
      <c r="E120" s="28"/>
      <c r="F120" s="57">
        <f t="shared" si="12"/>
        <v>0</v>
      </c>
      <c r="G120" s="28"/>
      <c r="H120" s="28"/>
      <c r="I120" s="28"/>
      <c r="J120" s="28"/>
      <c r="K120" s="28"/>
      <c r="L120" s="28"/>
      <c r="M120" s="58">
        <f t="shared" si="16"/>
        <v>0</v>
      </c>
    </row>
    <row r="121" spans="1:13" ht="128.25" customHeight="1">
      <c r="A121" s="4" t="s">
        <v>12</v>
      </c>
      <c r="B121" s="5" t="s">
        <v>360</v>
      </c>
      <c r="C121" s="28">
        <v>95</v>
      </c>
      <c r="D121" s="28"/>
      <c r="E121" s="28"/>
      <c r="F121" s="28">
        <f t="shared" si="12"/>
        <v>0</v>
      </c>
      <c r="G121" s="28"/>
      <c r="H121" s="28"/>
      <c r="I121" s="28"/>
      <c r="J121" s="28"/>
      <c r="K121" s="28"/>
      <c r="L121" s="28"/>
      <c r="M121" s="28">
        <f t="shared" si="16"/>
        <v>95</v>
      </c>
    </row>
    <row r="122" spans="1:13" ht="70.5" customHeight="1">
      <c r="A122" s="4" t="s">
        <v>232</v>
      </c>
      <c r="B122" s="5" t="s">
        <v>361</v>
      </c>
      <c r="C122" s="28">
        <v>26</v>
      </c>
      <c r="D122" s="28"/>
      <c r="E122" s="28"/>
      <c r="F122" s="28">
        <f t="shared" si="12"/>
        <v>0</v>
      </c>
      <c r="G122" s="28"/>
      <c r="H122" s="28"/>
      <c r="I122" s="28"/>
      <c r="J122" s="28"/>
      <c r="K122" s="28"/>
      <c r="L122" s="28"/>
      <c r="M122" s="28">
        <f t="shared" si="16"/>
        <v>26</v>
      </c>
    </row>
    <row r="123" spans="1:13" ht="39.75" customHeight="1" hidden="1">
      <c r="A123" s="4" t="s">
        <v>232</v>
      </c>
      <c r="B123" s="5" t="s">
        <v>78</v>
      </c>
      <c r="C123" s="28"/>
      <c r="D123" s="28"/>
      <c r="E123" s="28"/>
      <c r="F123" s="28">
        <f t="shared" si="12"/>
        <v>0</v>
      </c>
      <c r="G123" s="28"/>
      <c r="H123" s="28"/>
      <c r="I123" s="28"/>
      <c r="J123" s="28"/>
      <c r="K123" s="28"/>
      <c r="L123" s="28"/>
      <c r="M123" s="28">
        <f t="shared" si="16"/>
        <v>0</v>
      </c>
    </row>
    <row r="124" spans="1:13" ht="48" customHeight="1" hidden="1">
      <c r="A124" s="4" t="s">
        <v>232</v>
      </c>
      <c r="B124" s="5" t="s">
        <v>79</v>
      </c>
      <c r="C124" s="28"/>
      <c r="D124" s="28"/>
      <c r="E124" s="28"/>
      <c r="F124" s="28">
        <f t="shared" si="12"/>
        <v>0</v>
      </c>
      <c r="G124" s="28"/>
      <c r="H124" s="28"/>
      <c r="I124" s="28"/>
      <c r="J124" s="28"/>
      <c r="K124" s="28"/>
      <c r="L124" s="28"/>
      <c r="M124" s="28">
        <f t="shared" si="16"/>
        <v>0</v>
      </c>
    </row>
    <row r="125" spans="1:13" ht="48" customHeight="1" hidden="1">
      <c r="A125" s="4" t="s">
        <v>232</v>
      </c>
      <c r="B125" s="5" t="s">
        <v>272</v>
      </c>
      <c r="C125" s="28"/>
      <c r="D125" s="28"/>
      <c r="E125" s="28"/>
      <c r="F125" s="28">
        <f t="shared" si="12"/>
        <v>0</v>
      </c>
      <c r="G125" s="28"/>
      <c r="H125" s="28"/>
      <c r="I125" s="28"/>
      <c r="J125" s="28"/>
      <c r="K125" s="28"/>
      <c r="L125" s="28"/>
      <c r="M125" s="28">
        <f t="shared" si="16"/>
        <v>0</v>
      </c>
    </row>
    <row r="126" spans="1:13" ht="64.5" customHeight="1">
      <c r="A126" s="4" t="s">
        <v>231</v>
      </c>
      <c r="B126" s="5" t="s">
        <v>362</v>
      </c>
      <c r="C126" s="28">
        <v>100</v>
      </c>
      <c r="D126" s="28"/>
      <c r="E126" s="28"/>
      <c r="F126" s="28">
        <f t="shared" si="12"/>
        <v>0</v>
      </c>
      <c r="G126" s="28"/>
      <c r="H126" s="28"/>
      <c r="I126" s="28"/>
      <c r="J126" s="28"/>
      <c r="K126" s="28"/>
      <c r="L126" s="28"/>
      <c r="M126" s="28">
        <f t="shared" si="16"/>
        <v>100</v>
      </c>
    </row>
    <row r="127" spans="1:13" ht="48" customHeight="1" hidden="1">
      <c r="A127" s="4" t="s">
        <v>235</v>
      </c>
      <c r="B127" s="8" t="s">
        <v>115</v>
      </c>
      <c r="C127" s="28">
        <f>SUM(C128:C130)</f>
        <v>3606.2999999999997</v>
      </c>
      <c r="D127" s="28">
        <f aca="true" t="shared" si="18" ref="D127:L127">SUM(D128:D130)</f>
        <v>0</v>
      </c>
      <c r="E127" s="28">
        <f t="shared" si="18"/>
        <v>0</v>
      </c>
      <c r="F127" s="28">
        <f t="shared" si="12"/>
        <v>0</v>
      </c>
      <c r="G127" s="28">
        <f t="shared" si="18"/>
        <v>0</v>
      </c>
      <c r="H127" s="28">
        <f t="shared" si="18"/>
        <v>0</v>
      </c>
      <c r="I127" s="28">
        <f t="shared" si="18"/>
        <v>0</v>
      </c>
      <c r="J127" s="28">
        <f t="shared" si="18"/>
        <v>0</v>
      </c>
      <c r="K127" s="28">
        <f t="shared" si="18"/>
        <v>0</v>
      </c>
      <c r="L127" s="28">
        <f t="shared" si="18"/>
        <v>0</v>
      </c>
      <c r="M127" s="28">
        <f t="shared" si="16"/>
        <v>3606.2999999999997</v>
      </c>
    </row>
    <row r="128" spans="1:13" ht="67.5" customHeight="1">
      <c r="A128" s="4" t="s">
        <v>235</v>
      </c>
      <c r="B128" s="8" t="s">
        <v>174</v>
      </c>
      <c r="C128" s="28">
        <v>3598.1</v>
      </c>
      <c r="D128" s="28"/>
      <c r="E128" s="28"/>
      <c r="F128" s="28">
        <f aca="true" t="shared" si="19" ref="F128:F201">G128+J128</f>
        <v>0</v>
      </c>
      <c r="G128" s="78"/>
      <c r="H128" s="28"/>
      <c r="I128" s="28"/>
      <c r="J128" s="28"/>
      <c r="K128" s="28"/>
      <c r="L128" s="28"/>
      <c r="M128" s="28">
        <f t="shared" si="16"/>
        <v>3598.1</v>
      </c>
    </row>
    <row r="129" spans="1:13" ht="89.25" customHeight="1">
      <c r="A129" s="4" t="s">
        <v>20</v>
      </c>
      <c r="B129" s="8" t="s">
        <v>175</v>
      </c>
      <c r="C129" s="28">
        <v>8</v>
      </c>
      <c r="D129" s="28"/>
      <c r="E129" s="28"/>
      <c r="F129" s="28">
        <f t="shared" si="19"/>
        <v>0</v>
      </c>
      <c r="G129" s="78"/>
      <c r="H129" s="28"/>
      <c r="I129" s="28"/>
      <c r="J129" s="28"/>
      <c r="K129" s="28"/>
      <c r="L129" s="28"/>
      <c r="M129" s="28">
        <f t="shared" si="16"/>
        <v>8</v>
      </c>
    </row>
    <row r="130" spans="1:13" ht="43.5" customHeight="1">
      <c r="A130" s="4" t="s">
        <v>21</v>
      </c>
      <c r="B130" s="5" t="s">
        <v>110</v>
      </c>
      <c r="C130" s="28">
        <v>0.2</v>
      </c>
      <c r="D130" s="28"/>
      <c r="E130" s="28"/>
      <c r="F130" s="28">
        <f t="shared" si="19"/>
        <v>0</v>
      </c>
      <c r="G130" s="78"/>
      <c r="H130" s="28"/>
      <c r="I130" s="28"/>
      <c r="J130" s="28"/>
      <c r="K130" s="28"/>
      <c r="L130" s="28"/>
      <c r="M130" s="28">
        <f t="shared" si="16"/>
        <v>0.2</v>
      </c>
    </row>
    <row r="131" spans="1:13" ht="51" customHeight="1">
      <c r="A131" s="4" t="s">
        <v>116</v>
      </c>
      <c r="B131" s="5" t="s">
        <v>333</v>
      </c>
      <c r="C131" s="28">
        <f>SUM(C132:C134)</f>
        <v>891.4</v>
      </c>
      <c r="D131" s="28">
        <f aca="true" t="shared" si="20" ref="D131:L131">SUM(D132:D134)</f>
        <v>0</v>
      </c>
      <c r="E131" s="28">
        <f t="shared" si="20"/>
        <v>0</v>
      </c>
      <c r="F131" s="28">
        <f t="shared" si="19"/>
        <v>0</v>
      </c>
      <c r="G131" s="28">
        <f t="shared" si="20"/>
        <v>0</v>
      </c>
      <c r="H131" s="28">
        <f t="shared" si="20"/>
        <v>0</v>
      </c>
      <c r="I131" s="28">
        <f t="shared" si="20"/>
        <v>0</v>
      </c>
      <c r="J131" s="28">
        <f t="shared" si="20"/>
        <v>0</v>
      </c>
      <c r="K131" s="28">
        <f t="shared" si="20"/>
        <v>0</v>
      </c>
      <c r="L131" s="28">
        <f t="shared" si="20"/>
        <v>0</v>
      </c>
      <c r="M131" s="28">
        <f t="shared" si="16"/>
        <v>891.4</v>
      </c>
    </row>
    <row r="132" spans="1:13" ht="96" customHeight="1">
      <c r="A132" s="4" t="s">
        <v>227</v>
      </c>
      <c r="B132" s="8" t="s">
        <v>363</v>
      </c>
      <c r="C132" s="28">
        <v>350</v>
      </c>
      <c r="D132" s="28"/>
      <c r="E132" s="28"/>
      <c r="F132" s="28">
        <f t="shared" si="19"/>
        <v>0</v>
      </c>
      <c r="G132" s="78"/>
      <c r="H132" s="28"/>
      <c r="I132" s="28"/>
      <c r="J132" s="28"/>
      <c r="K132" s="28"/>
      <c r="L132" s="28"/>
      <c r="M132" s="28">
        <f t="shared" si="16"/>
        <v>350</v>
      </c>
    </row>
    <row r="133" spans="1:13" ht="70.5" customHeight="1">
      <c r="A133" s="4" t="s">
        <v>227</v>
      </c>
      <c r="B133" s="5" t="s">
        <v>217</v>
      </c>
      <c r="C133" s="28">
        <f>523.4</f>
        <v>523.4</v>
      </c>
      <c r="D133" s="28"/>
      <c r="E133" s="28"/>
      <c r="F133" s="28">
        <f t="shared" si="19"/>
        <v>0</v>
      </c>
      <c r="G133" s="78"/>
      <c r="H133" s="28"/>
      <c r="I133" s="28"/>
      <c r="J133" s="28"/>
      <c r="K133" s="28"/>
      <c r="L133" s="28"/>
      <c r="M133" s="28">
        <f t="shared" si="16"/>
        <v>523.4</v>
      </c>
    </row>
    <row r="134" spans="1:13" ht="69.75" customHeight="1">
      <c r="A134" s="4" t="s">
        <v>273</v>
      </c>
      <c r="B134" s="5" t="s">
        <v>219</v>
      </c>
      <c r="C134" s="28">
        <f>18</f>
        <v>18</v>
      </c>
      <c r="D134" s="28"/>
      <c r="E134" s="28"/>
      <c r="F134" s="28">
        <f t="shared" si="19"/>
        <v>0</v>
      </c>
      <c r="G134" s="78"/>
      <c r="H134" s="28"/>
      <c r="I134" s="28"/>
      <c r="J134" s="28"/>
      <c r="K134" s="28"/>
      <c r="L134" s="28"/>
      <c r="M134" s="28">
        <f t="shared" si="16"/>
        <v>18</v>
      </c>
    </row>
    <row r="135" spans="1:13" ht="84" customHeight="1">
      <c r="A135" s="4" t="s">
        <v>268</v>
      </c>
      <c r="B135" s="7" t="s">
        <v>52</v>
      </c>
      <c r="C135" s="44">
        <v>10</v>
      </c>
      <c r="D135" s="44"/>
      <c r="E135" s="44"/>
      <c r="F135" s="28">
        <f t="shared" si="19"/>
        <v>0</v>
      </c>
      <c r="G135" s="28"/>
      <c r="H135" s="44"/>
      <c r="I135" s="44"/>
      <c r="J135" s="44"/>
      <c r="K135" s="44"/>
      <c r="L135" s="44"/>
      <c r="M135" s="28">
        <f t="shared" si="16"/>
        <v>10</v>
      </c>
    </row>
    <row r="136" spans="1:13" ht="67.5" customHeight="1" hidden="1">
      <c r="A136" s="4" t="s">
        <v>17</v>
      </c>
      <c r="B136" s="5" t="s">
        <v>55</v>
      </c>
      <c r="C136" s="28">
        <f>SUM(C137:C146)</f>
        <v>148</v>
      </c>
      <c r="D136" s="28">
        <f>SUM(D137:D146)</f>
        <v>0</v>
      </c>
      <c r="E136" s="28">
        <f>SUM(E137:E146)</f>
        <v>0</v>
      </c>
      <c r="F136" s="28">
        <f t="shared" si="19"/>
        <v>406.5</v>
      </c>
      <c r="G136" s="28">
        <f aca="true" t="shared" si="21" ref="G136:M136">SUM(G137:G146)</f>
        <v>0</v>
      </c>
      <c r="H136" s="28">
        <f t="shared" si="21"/>
        <v>0</v>
      </c>
      <c r="I136" s="28">
        <f t="shared" si="21"/>
        <v>0</v>
      </c>
      <c r="J136" s="28">
        <f t="shared" si="21"/>
        <v>406.5</v>
      </c>
      <c r="K136" s="28">
        <f t="shared" si="21"/>
        <v>406.5</v>
      </c>
      <c r="L136" s="28">
        <f t="shared" si="21"/>
        <v>0</v>
      </c>
      <c r="M136" s="28">
        <f t="shared" si="21"/>
        <v>554.5</v>
      </c>
    </row>
    <row r="137" spans="1:13" ht="120.75" customHeight="1" hidden="1">
      <c r="A137" s="4" t="s">
        <v>17</v>
      </c>
      <c r="B137" s="5" t="s">
        <v>325</v>
      </c>
      <c r="C137" s="44"/>
      <c r="D137" s="44"/>
      <c r="E137" s="44"/>
      <c r="F137" s="57">
        <f t="shared" si="19"/>
        <v>0</v>
      </c>
      <c r="G137" s="28"/>
      <c r="H137" s="44"/>
      <c r="I137" s="44"/>
      <c r="J137" s="44"/>
      <c r="K137" s="44"/>
      <c r="L137" s="44"/>
      <c r="M137" s="58">
        <f t="shared" si="16"/>
        <v>0</v>
      </c>
    </row>
    <row r="138" spans="1:13" ht="94.5" customHeight="1">
      <c r="A138" s="4" t="s">
        <v>17</v>
      </c>
      <c r="B138" s="5" t="s">
        <v>0</v>
      </c>
      <c r="C138" s="44">
        <v>15</v>
      </c>
      <c r="D138" s="44"/>
      <c r="E138" s="44"/>
      <c r="F138" s="57">
        <f t="shared" si="19"/>
        <v>16.5</v>
      </c>
      <c r="G138" s="28"/>
      <c r="H138" s="44"/>
      <c r="I138" s="44"/>
      <c r="J138" s="44">
        <v>16.5</v>
      </c>
      <c r="K138" s="44">
        <v>16.5</v>
      </c>
      <c r="L138" s="44"/>
      <c r="M138" s="58">
        <f t="shared" si="16"/>
        <v>31.5</v>
      </c>
    </row>
    <row r="139" spans="1:13" ht="111" customHeight="1" hidden="1">
      <c r="A139" s="4" t="s">
        <v>17</v>
      </c>
      <c r="B139" s="5" t="s">
        <v>47</v>
      </c>
      <c r="C139" s="44"/>
      <c r="D139" s="44"/>
      <c r="E139" s="44"/>
      <c r="F139" s="57">
        <f t="shared" si="19"/>
        <v>0</v>
      </c>
      <c r="G139" s="28"/>
      <c r="H139" s="44"/>
      <c r="I139" s="44"/>
      <c r="J139" s="44"/>
      <c r="K139" s="44"/>
      <c r="L139" s="44"/>
      <c r="M139" s="58">
        <f t="shared" si="16"/>
        <v>0</v>
      </c>
    </row>
    <row r="140" spans="1:13" ht="102" customHeight="1">
      <c r="A140" s="4" t="s">
        <v>17</v>
      </c>
      <c r="B140" s="54" t="s">
        <v>53</v>
      </c>
      <c r="C140" s="44">
        <v>45</v>
      </c>
      <c r="D140" s="44"/>
      <c r="E140" s="44"/>
      <c r="F140" s="57"/>
      <c r="G140" s="28"/>
      <c r="H140" s="44"/>
      <c r="I140" s="44"/>
      <c r="J140" s="44"/>
      <c r="K140" s="44"/>
      <c r="L140" s="44"/>
      <c r="M140" s="58">
        <f t="shared" si="16"/>
        <v>45</v>
      </c>
    </row>
    <row r="141" spans="1:13" ht="73.5" customHeight="1">
      <c r="A141" s="4" t="s">
        <v>17</v>
      </c>
      <c r="B141" s="8" t="s">
        <v>364</v>
      </c>
      <c r="C141" s="44">
        <v>15</v>
      </c>
      <c r="D141" s="44"/>
      <c r="E141" s="44"/>
      <c r="F141" s="57">
        <f t="shared" si="19"/>
        <v>0</v>
      </c>
      <c r="G141" s="28"/>
      <c r="H141" s="44"/>
      <c r="I141" s="44"/>
      <c r="J141" s="44"/>
      <c r="K141" s="44"/>
      <c r="L141" s="44"/>
      <c r="M141" s="58">
        <f t="shared" si="16"/>
        <v>15</v>
      </c>
    </row>
    <row r="142" spans="1:13" ht="70.5" customHeight="1" hidden="1">
      <c r="A142" s="4" t="s">
        <v>17</v>
      </c>
      <c r="B142" s="5" t="s">
        <v>172</v>
      </c>
      <c r="C142" s="44"/>
      <c r="D142" s="44"/>
      <c r="E142" s="44"/>
      <c r="F142" s="57">
        <f t="shared" si="19"/>
        <v>0</v>
      </c>
      <c r="G142" s="28"/>
      <c r="H142" s="44"/>
      <c r="I142" s="44"/>
      <c r="J142" s="44"/>
      <c r="K142" s="44"/>
      <c r="L142" s="44"/>
      <c r="M142" s="58">
        <f t="shared" si="16"/>
        <v>0</v>
      </c>
    </row>
    <row r="143" spans="1:13" ht="102.75" customHeight="1" hidden="1">
      <c r="A143" s="4" t="s">
        <v>17</v>
      </c>
      <c r="B143" s="5" t="s">
        <v>354</v>
      </c>
      <c r="C143" s="44"/>
      <c r="D143" s="44"/>
      <c r="E143" s="44"/>
      <c r="F143" s="57">
        <f t="shared" si="19"/>
        <v>0</v>
      </c>
      <c r="G143" s="28"/>
      <c r="H143" s="44"/>
      <c r="I143" s="44"/>
      <c r="J143" s="44"/>
      <c r="K143" s="44"/>
      <c r="L143" s="44"/>
      <c r="M143" s="58">
        <f t="shared" si="16"/>
        <v>0</v>
      </c>
    </row>
    <row r="144" spans="1:13" ht="108" customHeight="1">
      <c r="A144" s="4" t="s">
        <v>17</v>
      </c>
      <c r="B144" s="5" t="s">
        <v>54</v>
      </c>
      <c r="C144" s="44"/>
      <c r="D144" s="44"/>
      <c r="E144" s="44"/>
      <c r="F144" s="57">
        <f t="shared" si="19"/>
        <v>110</v>
      </c>
      <c r="G144" s="28"/>
      <c r="H144" s="44"/>
      <c r="I144" s="44"/>
      <c r="J144" s="44">
        <v>110</v>
      </c>
      <c r="K144" s="44">
        <v>110</v>
      </c>
      <c r="L144" s="44"/>
      <c r="M144" s="58">
        <f t="shared" si="16"/>
        <v>110</v>
      </c>
    </row>
    <row r="145" spans="1:13" ht="78.75" customHeight="1">
      <c r="A145" s="4" t="s">
        <v>17</v>
      </c>
      <c r="B145" s="54" t="s">
        <v>4</v>
      </c>
      <c r="C145" s="44">
        <v>73</v>
      </c>
      <c r="D145" s="44"/>
      <c r="E145" s="44"/>
      <c r="F145" s="57">
        <f t="shared" si="19"/>
        <v>0</v>
      </c>
      <c r="G145" s="28"/>
      <c r="H145" s="44"/>
      <c r="I145" s="44"/>
      <c r="J145" s="44"/>
      <c r="K145" s="44"/>
      <c r="L145" s="44"/>
      <c r="M145" s="58">
        <f t="shared" si="16"/>
        <v>73</v>
      </c>
    </row>
    <row r="146" spans="1:13" ht="100.5" customHeight="1">
      <c r="A146" s="4" t="s">
        <v>17</v>
      </c>
      <c r="B146" s="54" t="s">
        <v>1</v>
      </c>
      <c r="C146" s="44"/>
      <c r="D146" s="44"/>
      <c r="E146" s="44"/>
      <c r="F146" s="57">
        <f t="shared" si="19"/>
        <v>280</v>
      </c>
      <c r="G146" s="28"/>
      <c r="H146" s="44"/>
      <c r="I146" s="44"/>
      <c r="J146" s="28">
        <v>280</v>
      </c>
      <c r="K146" s="28">
        <v>280</v>
      </c>
      <c r="L146" s="28"/>
      <c r="M146" s="58">
        <f t="shared" si="16"/>
        <v>280</v>
      </c>
    </row>
    <row r="147" spans="1:13" ht="103.5" customHeight="1">
      <c r="A147" s="4" t="s">
        <v>31</v>
      </c>
      <c r="B147" s="10" t="s">
        <v>154</v>
      </c>
      <c r="C147" s="28"/>
      <c r="D147" s="28"/>
      <c r="E147" s="28"/>
      <c r="F147" s="57">
        <f t="shared" si="19"/>
        <v>10</v>
      </c>
      <c r="G147" s="28">
        <v>10</v>
      </c>
      <c r="H147" s="28"/>
      <c r="I147" s="28"/>
      <c r="J147" s="28"/>
      <c r="K147" s="28"/>
      <c r="L147" s="28"/>
      <c r="M147" s="58">
        <f t="shared" si="16"/>
        <v>10</v>
      </c>
    </row>
    <row r="148" spans="1:15" ht="46.5" customHeight="1">
      <c r="A148" s="30" t="s">
        <v>133</v>
      </c>
      <c r="B148" s="31" t="s">
        <v>202</v>
      </c>
      <c r="C148" s="36">
        <f>C150+C151+C167+C171+C176+C189+C191</f>
        <v>6761.13897</v>
      </c>
      <c r="D148" s="36">
        <f>D150+D151+D167+D171+D176+D189+D191</f>
        <v>507.024</v>
      </c>
      <c r="E148" s="36">
        <f>E150+E151+E167+E171+E176+E189+E191</f>
        <v>254.7</v>
      </c>
      <c r="F148" s="36">
        <f>G148+J148</f>
        <v>8596.27378</v>
      </c>
      <c r="G148" s="36">
        <f>G150+G151+G167+G171+G176+G189+G191+G168</f>
        <v>845.7354</v>
      </c>
      <c r="H148" s="36">
        <f>H150+H151+H167+H171+H176+H189+H191</f>
        <v>0</v>
      </c>
      <c r="I148" s="36">
        <f>I150+I151+I167+I171+I176+I189+I191</f>
        <v>0</v>
      </c>
      <c r="J148" s="36">
        <f>J150+J151+J167+J171+J176+J189+J191+J170+J168+J169</f>
        <v>7750.53838</v>
      </c>
      <c r="K148" s="36">
        <f>K150+K151+K167+K171+K176+K189+K191+K170+K168+K169</f>
        <v>4917.91188</v>
      </c>
      <c r="L148" s="36">
        <f>L150+L151+L167+L171+L176+L189+L191+L170+L168+L169</f>
        <v>0</v>
      </c>
      <c r="M148" s="36">
        <f>C148+F148</f>
        <v>15357.41275</v>
      </c>
      <c r="N148" s="51">
        <f>SUM(M150:M192)-M151-M171-M176-M191</f>
        <v>15357.412750000001</v>
      </c>
      <c r="O148" s="51">
        <f>M148-N148</f>
        <v>0</v>
      </c>
    </row>
    <row r="149" spans="1:13" s="87" customFormat="1" ht="37.5">
      <c r="A149" s="85"/>
      <c r="B149" s="49" t="s">
        <v>97</v>
      </c>
      <c r="C149" s="86">
        <f>C173+C175</f>
        <v>0</v>
      </c>
      <c r="D149" s="86">
        <f aca="true" t="shared" si="22" ref="D149:M149">D173+D175</f>
        <v>0</v>
      </c>
      <c r="E149" s="86">
        <f t="shared" si="22"/>
        <v>0</v>
      </c>
      <c r="F149" s="86">
        <f t="shared" si="22"/>
        <v>2389.00136</v>
      </c>
      <c r="G149" s="86">
        <f>G173+G175+G169</f>
        <v>693.1654000000001</v>
      </c>
      <c r="H149" s="86">
        <f t="shared" si="22"/>
        <v>0</v>
      </c>
      <c r="I149" s="86">
        <f t="shared" si="22"/>
        <v>0</v>
      </c>
      <c r="J149" s="86">
        <f>J173+J175+J169</f>
        <v>2776.1965</v>
      </c>
      <c r="K149" s="86">
        <f t="shared" si="22"/>
        <v>0</v>
      </c>
      <c r="L149" s="86">
        <f t="shared" si="22"/>
        <v>0</v>
      </c>
      <c r="M149" s="86">
        <f t="shared" si="22"/>
        <v>2389.00136</v>
      </c>
    </row>
    <row r="150" spans="1:13" ht="60.75" customHeight="1">
      <c r="A150" s="4" t="s">
        <v>222</v>
      </c>
      <c r="B150" s="8" t="s">
        <v>128</v>
      </c>
      <c r="C150" s="38">
        <f>739.4+26.97593+20.5</f>
        <v>786.8759299999999</v>
      </c>
      <c r="D150" s="38">
        <v>499.6</v>
      </c>
      <c r="E150" s="38">
        <v>15.7</v>
      </c>
      <c r="F150" s="28">
        <f t="shared" si="19"/>
        <v>0</v>
      </c>
      <c r="G150" s="38"/>
      <c r="H150" s="38"/>
      <c r="I150" s="38"/>
      <c r="J150" s="38"/>
      <c r="K150" s="38"/>
      <c r="L150" s="38"/>
      <c r="M150" s="58">
        <f aca="true" t="shared" si="23" ref="M150:M158">C150+F150</f>
        <v>786.8759299999999</v>
      </c>
    </row>
    <row r="151" spans="1:13" ht="33.75" customHeight="1">
      <c r="A151" s="4" t="s">
        <v>326</v>
      </c>
      <c r="B151" s="63" t="s">
        <v>180</v>
      </c>
      <c r="C151" s="28">
        <f>SUM(C152:C166)</f>
        <v>5723.23093</v>
      </c>
      <c r="D151" s="28">
        <f>SUM(D152:D166)</f>
        <v>7.424</v>
      </c>
      <c r="E151" s="28">
        <f>SUM(E152:E166)</f>
        <v>239</v>
      </c>
      <c r="F151" s="28">
        <f t="shared" si="19"/>
        <v>3274.8561799999998</v>
      </c>
      <c r="G151" s="28">
        <f aca="true" t="shared" si="24" ref="G151:L151">SUM(G152:G166)</f>
        <v>0</v>
      </c>
      <c r="H151" s="28">
        <f t="shared" si="24"/>
        <v>0</v>
      </c>
      <c r="I151" s="28">
        <f t="shared" si="24"/>
        <v>0</v>
      </c>
      <c r="J151" s="28">
        <f t="shared" si="24"/>
        <v>3274.8561799999998</v>
      </c>
      <c r="K151" s="52">
        <f t="shared" si="24"/>
        <v>3274.8561799999998</v>
      </c>
      <c r="L151" s="28">
        <f t="shared" si="24"/>
        <v>0</v>
      </c>
      <c r="M151" s="28">
        <f t="shared" si="23"/>
        <v>8998.08711</v>
      </c>
    </row>
    <row r="152" spans="1:13" s="24" customFormat="1" ht="32.25" customHeight="1">
      <c r="A152" s="4" t="s">
        <v>94</v>
      </c>
      <c r="B152" s="7" t="s">
        <v>66</v>
      </c>
      <c r="C152" s="28">
        <f>292.1+69.58588</f>
        <v>361.68588</v>
      </c>
      <c r="D152" s="80"/>
      <c r="E152" s="80"/>
      <c r="F152" s="28">
        <f t="shared" si="19"/>
        <v>0</v>
      </c>
      <c r="G152" s="28"/>
      <c r="H152" s="28"/>
      <c r="I152" s="28"/>
      <c r="J152" s="28"/>
      <c r="K152" s="28"/>
      <c r="L152" s="28"/>
      <c r="M152" s="28">
        <f t="shared" si="23"/>
        <v>361.68588</v>
      </c>
    </row>
    <row r="153" spans="1:13" ht="89.25" customHeight="1">
      <c r="A153" s="4" t="s">
        <v>236</v>
      </c>
      <c r="B153" s="8" t="s">
        <v>165</v>
      </c>
      <c r="C153" s="28"/>
      <c r="D153" s="28"/>
      <c r="E153" s="28"/>
      <c r="F153" s="28">
        <f t="shared" si="19"/>
        <v>1625.35504</v>
      </c>
      <c r="G153" s="28"/>
      <c r="H153" s="28"/>
      <c r="I153" s="28"/>
      <c r="J153" s="28">
        <f>1540+87.83604-2.481</f>
        <v>1625.35504</v>
      </c>
      <c r="K153" s="28">
        <f>1540+87.83604-2.481</f>
        <v>1625.35504</v>
      </c>
      <c r="L153" s="28"/>
      <c r="M153" s="28">
        <f t="shared" si="23"/>
        <v>1625.35504</v>
      </c>
    </row>
    <row r="154" spans="1:13" s="59" customFormat="1" ht="102.75" customHeight="1">
      <c r="A154" s="4" t="s">
        <v>236</v>
      </c>
      <c r="B154" s="8" t="s">
        <v>189</v>
      </c>
      <c r="C154" s="28"/>
      <c r="D154" s="28"/>
      <c r="E154" s="28"/>
      <c r="F154" s="28">
        <f t="shared" si="19"/>
        <v>30</v>
      </c>
      <c r="G154" s="28"/>
      <c r="H154" s="28"/>
      <c r="I154" s="28"/>
      <c r="J154" s="28">
        <v>30</v>
      </c>
      <c r="K154" s="28">
        <v>30</v>
      </c>
      <c r="L154" s="28"/>
      <c r="M154" s="28">
        <f t="shared" si="23"/>
        <v>30</v>
      </c>
    </row>
    <row r="155" spans="1:13" ht="47.25" customHeight="1" hidden="1">
      <c r="A155" s="4" t="s">
        <v>236</v>
      </c>
      <c r="B155" s="8" t="s">
        <v>290</v>
      </c>
      <c r="C155" s="28"/>
      <c r="D155" s="28"/>
      <c r="E155" s="28"/>
      <c r="F155" s="28">
        <f t="shared" si="19"/>
        <v>0</v>
      </c>
      <c r="G155" s="78"/>
      <c r="H155" s="28"/>
      <c r="I155" s="28"/>
      <c r="J155" s="28"/>
      <c r="K155" s="28"/>
      <c r="L155" s="28"/>
      <c r="M155" s="28">
        <f t="shared" si="23"/>
        <v>0</v>
      </c>
    </row>
    <row r="156" spans="1:13" ht="81" customHeight="1" hidden="1">
      <c r="A156" s="4" t="s">
        <v>236</v>
      </c>
      <c r="B156" s="8" t="s">
        <v>351</v>
      </c>
      <c r="C156" s="28"/>
      <c r="D156" s="28"/>
      <c r="E156" s="28"/>
      <c r="F156" s="28">
        <f t="shared" si="19"/>
        <v>0</v>
      </c>
      <c r="G156" s="78"/>
      <c r="H156" s="28"/>
      <c r="I156" s="28"/>
      <c r="J156" s="28"/>
      <c r="K156" s="28"/>
      <c r="L156" s="28"/>
      <c r="M156" s="28">
        <f t="shared" si="23"/>
        <v>0</v>
      </c>
    </row>
    <row r="157" spans="1:13" ht="76.5" customHeight="1">
      <c r="A157" s="4" t="s">
        <v>304</v>
      </c>
      <c r="B157" s="8" t="s">
        <v>67</v>
      </c>
      <c r="C157" s="28">
        <v>50</v>
      </c>
      <c r="D157" s="28"/>
      <c r="E157" s="28"/>
      <c r="F157" s="28">
        <f t="shared" si="19"/>
        <v>0</v>
      </c>
      <c r="G157" s="28"/>
      <c r="H157" s="28"/>
      <c r="I157" s="28"/>
      <c r="J157" s="28"/>
      <c r="K157" s="28"/>
      <c r="L157" s="28"/>
      <c r="M157" s="28">
        <f t="shared" si="23"/>
        <v>50</v>
      </c>
    </row>
    <row r="158" spans="1:13" s="59" customFormat="1" ht="61.5" customHeight="1">
      <c r="A158" s="4" t="s">
        <v>23</v>
      </c>
      <c r="B158" s="8" t="s">
        <v>8</v>
      </c>
      <c r="C158" s="28">
        <f>91.27501+64</f>
        <v>155.27501</v>
      </c>
      <c r="D158" s="28"/>
      <c r="E158" s="28"/>
      <c r="F158" s="28">
        <f t="shared" si="19"/>
        <v>135.62092</v>
      </c>
      <c r="G158" s="28"/>
      <c r="H158" s="28"/>
      <c r="I158" s="28"/>
      <c r="J158" s="28">
        <f>26+109.62092</f>
        <v>135.62092</v>
      </c>
      <c r="K158" s="28">
        <f>26+109.62092</f>
        <v>135.62092</v>
      </c>
      <c r="L158" s="28"/>
      <c r="M158" s="28">
        <f t="shared" si="23"/>
        <v>290.89593</v>
      </c>
    </row>
    <row r="159" spans="1:13" s="18" customFormat="1" ht="78.75" customHeight="1">
      <c r="A159" s="4" t="s">
        <v>23</v>
      </c>
      <c r="B159" s="8" t="s">
        <v>7</v>
      </c>
      <c r="C159" s="28"/>
      <c r="D159" s="28"/>
      <c r="E159" s="28"/>
      <c r="F159" s="28">
        <f t="shared" si="19"/>
        <v>185.88502</v>
      </c>
      <c r="G159" s="28"/>
      <c r="H159" s="28"/>
      <c r="I159" s="28"/>
      <c r="J159" s="28">
        <f>98+0.88502+87</f>
        <v>185.88502</v>
      </c>
      <c r="K159" s="28">
        <f>98+0.88502+87</f>
        <v>185.88502</v>
      </c>
      <c r="L159" s="28"/>
      <c r="M159" s="28">
        <f aca="true" t="shared" si="25" ref="M159:M166">C159+F159</f>
        <v>185.88502</v>
      </c>
    </row>
    <row r="160" spans="1:13" ht="87" customHeight="1">
      <c r="A160" s="4" t="s">
        <v>301</v>
      </c>
      <c r="B160" s="5" t="s">
        <v>10</v>
      </c>
      <c r="C160" s="28">
        <v>10</v>
      </c>
      <c r="D160" s="28"/>
      <c r="E160" s="28"/>
      <c r="F160" s="28">
        <f t="shared" si="19"/>
        <v>896.6602</v>
      </c>
      <c r="G160" s="28"/>
      <c r="H160" s="28"/>
      <c r="I160" s="28"/>
      <c r="J160" s="28">
        <f>871.6+25.0602</f>
        <v>896.6602</v>
      </c>
      <c r="K160" s="28">
        <f>871.6+25.0602</f>
        <v>896.6602</v>
      </c>
      <c r="L160" s="28"/>
      <c r="M160" s="28">
        <f t="shared" si="25"/>
        <v>906.6602</v>
      </c>
    </row>
    <row r="161" spans="1:13" ht="105" customHeight="1">
      <c r="A161" s="4" t="s">
        <v>301</v>
      </c>
      <c r="B161" s="5" t="s">
        <v>355</v>
      </c>
      <c r="C161" s="28"/>
      <c r="D161" s="28"/>
      <c r="E161" s="28"/>
      <c r="F161" s="28">
        <f t="shared" si="19"/>
        <v>200</v>
      </c>
      <c r="G161" s="78"/>
      <c r="H161" s="28"/>
      <c r="I161" s="28"/>
      <c r="J161" s="28">
        <v>200</v>
      </c>
      <c r="K161" s="28">
        <v>200</v>
      </c>
      <c r="L161" s="28"/>
      <c r="M161" s="28">
        <f t="shared" si="25"/>
        <v>200</v>
      </c>
    </row>
    <row r="162" spans="1:13" ht="82.5" customHeight="1">
      <c r="A162" s="4" t="s">
        <v>237</v>
      </c>
      <c r="B162" s="5" t="s">
        <v>166</v>
      </c>
      <c r="C162" s="28">
        <f>3647+102.5009+267.76914+119+1000</f>
        <v>5136.270039999999</v>
      </c>
      <c r="D162" s="28"/>
      <c r="E162" s="28">
        <f>125+114</f>
        <v>239</v>
      </c>
      <c r="F162" s="28">
        <f t="shared" si="19"/>
        <v>185.335</v>
      </c>
      <c r="G162" s="28"/>
      <c r="H162" s="28"/>
      <c r="I162" s="28"/>
      <c r="J162" s="28">
        <f>169+22.85585+1.06-7.58085</f>
        <v>185.335</v>
      </c>
      <c r="K162" s="28">
        <f>169+22.85585+1.06-7.58085</f>
        <v>185.335</v>
      </c>
      <c r="L162" s="28"/>
      <c r="M162" s="28">
        <f t="shared" si="25"/>
        <v>5321.6050399999995</v>
      </c>
    </row>
    <row r="163" spans="1:13" s="59" customFormat="1" ht="85.5" customHeight="1">
      <c r="A163" s="4" t="s">
        <v>237</v>
      </c>
      <c r="B163" s="5" t="s">
        <v>167</v>
      </c>
      <c r="C163" s="28"/>
      <c r="D163" s="28"/>
      <c r="E163" s="28"/>
      <c r="F163" s="28">
        <f t="shared" si="19"/>
        <v>16</v>
      </c>
      <c r="G163" s="28"/>
      <c r="H163" s="28"/>
      <c r="I163" s="28"/>
      <c r="J163" s="28">
        <v>16</v>
      </c>
      <c r="K163" s="28">
        <v>16</v>
      </c>
      <c r="L163" s="28"/>
      <c r="M163" s="28">
        <f t="shared" si="25"/>
        <v>16</v>
      </c>
    </row>
    <row r="164" spans="1:13" s="59" customFormat="1" ht="72.75" customHeight="1">
      <c r="A164" s="4" t="s">
        <v>237</v>
      </c>
      <c r="B164" s="5" t="s">
        <v>168</v>
      </c>
      <c r="C164" s="28">
        <v>10</v>
      </c>
      <c r="D164" s="44">
        <v>7.424</v>
      </c>
      <c r="E164" s="44"/>
      <c r="F164" s="28">
        <f t="shared" si="19"/>
        <v>0</v>
      </c>
      <c r="G164" s="28"/>
      <c r="H164" s="28"/>
      <c r="I164" s="28"/>
      <c r="J164" s="28"/>
      <c r="K164" s="28"/>
      <c r="L164" s="28"/>
      <c r="M164" s="28">
        <f>C164+F164</f>
        <v>10</v>
      </c>
    </row>
    <row r="165" spans="1:13" s="59" customFormat="1" ht="63" customHeight="1" hidden="1">
      <c r="A165" s="4" t="s">
        <v>237</v>
      </c>
      <c r="B165" s="5" t="s">
        <v>352</v>
      </c>
      <c r="C165" s="28"/>
      <c r="D165" s="44"/>
      <c r="E165" s="44"/>
      <c r="F165" s="28">
        <f t="shared" si="19"/>
        <v>0</v>
      </c>
      <c r="G165" s="28"/>
      <c r="H165" s="28"/>
      <c r="I165" s="28"/>
      <c r="J165" s="28"/>
      <c r="K165" s="28"/>
      <c r="L165" s="28"/>
      <c r="M165" s="28">
        <f t="shared" si="25"/>
        <v>0</v>
      </c>
    </row>
    <row r="166" spans="1:13" ht="0.75" customHeight="1">
      <c r="A166" s="4" t="s">
        <v>25</v>
      </c>
      <c r="B166" s="5" t="s">
        <v>27</v>
      </c>
      <c r="C166" s="28"/>
      <c r="D166" s="28"/>
      <c r="E166" s="28"/>
      <c r="F166" s="28">
        <f t="shared" si="19"/>
        <v>0</v>
      </c>
      <c r="G166" s="40"/>
      <c r="H166" s="28"/>
      <c r="I166" s="28"/>
      <c r="J166" s="28"/>
      <c r="K166" s="28"/>
      <c r="L166" s="28"/>
      <c r="M166" s="28">
        <f t="shared" si="25"/>
        <v>0</v>
      </c>
    </row>
    <row r="167" spans="1:13" ht="102" customHeight="1">
      <c r="A167" s="4" t="s">
        <v>240</v>
      </c>
      <c r="B167" s="94" t="s">
        <v>169</v>
      </c>
      <c r="C167" s="28"/>
      <c r="D167" s="28"/>
      <c r="E167" s="28"/>
      <c r="F167" s="28">
        <f t="shared" si="19"/>
        <v>1506.67724</v>
      </c>
      <c r="G167" s="28"/>
      <c r="H167" s="28"/>
      <c r="I167" s="28"/>
      <c r="J167" s="28">
        <f>1155+351.67724</f>
        <v>1506.67724</v>
      </c>
      <c r="K167" s="28">
        <f>1155+351.67724</f>
        <v>1506.67724</v>
      </c>
      <c r="L167" s="28"/>
      <c r="M167" s="28">
        <f aca="true" t="shared" si="26" ref="M167:M233">C167+F167</f>
        <v>1506.67724</v>
      </c>
    </row>
    <row r="168" spans="1:13" ht="15" customHeight="1" hidden="1">
      <c r="A168" s="4" t="s">
        <v>240</v>
      </c>
      <c r="B168" s="5" t="s">
        <v>36</v>
      </c>
      <c r="C168" s="28"/>
      <c r="D168" s="28"/>
      <c r="E168" s="28"/>
      <c r="F168" s="28">
        <f t="shared" si="19"/>
        <v>0</v>
      </c>
      <c r="G168" s="78"/>
      <c r="H168" s="28"/>
      <c r="I168" s="28"/>
      <c r="J168" s="28"/>
      <c r="K168" s="28"/>
      <c r="L168" s="28"/>
      <c r="M168" s="28">
        <f t="shared" si="26"/>
        <v>0</v>
      </c>
    </row>
    <row r="169" spans="1:13" ht="51.75" customHeight="1">
      <c r="A169" s="4" t="s">
        <v>240</v>
      </c>
      <c r="B169" s="5" t="s">
        <v>9</v>
      </c>
      <c r="C169" s="28"/>
      <c r="D169" s="28"/>
      <c r="E169" s="28"/>
      <c r="F169" s="28">
        <f t="shared" si="19"/>
        <v>1080.36054</v>
      </c>
      <c r="G169" s="78"/>
      <c r="H169" s="28"/>
      <c r="I169" s="28"/>
      <c r="J169" s="28">
        <v>1080.36054</v>
      </c>
      <c r="K169" s="28"/>
      <c r="L169" s="28"/>
      <c r="M169" s="28">
        <f>C169+F169</f>
        <v>1080.36054</v>
      </c>
    </row>
    <row r="170" spans="1:13" ht="60" customHeight="1" hidden="1">
      <c r="A170" s="4" t="s">
        <v>68</v>
      </c>
      <c r="B170" s="9" t="s">
        <v>69</v>
      </c>
      <c r="C170" s="28"/>
      <c r="D170" s="28"/>
      <c r="E170" s="28"/>
      <c r="F170" s="28">
        <f t="shared" si="19"/>
        <v>0</v>
      </c>
      <c r="G170" s="28"/>
      <c r="H170" s="28"/>
      <c r="I170" s="28"/>
      <c r="J170" s="28"/>
      <c r="K170" s="28"/>
      <c r="L170" s="28"/>
      <c r="M170" s="28">
        <f>C170+F170</f>
        <v>0</v>
      </c>
    </row>
    <row r="171" spans="1:13" ht="55.5" customHeight="1">
      <c r="A171" s="4" t="s">
        <v>116</v>
      </c>
      <c r="B171" s="8" t="s">
        <v>333</v>
      </c>
      <c r="C171" s="52">
        <f>SUM(C172:C174)</f>
        <v>0</v>
      </c>
      <c r="D171" s="28">
        <f aca="true" t="shared" si="27" ref="D171:L171">SUM(D172:D174)</f>
        <v>0</v>
      </c>
      <c r="E171" s="28">
        <f t="shared" si="27"/>
        <v>0</v>
      </c>
      <c r="F171" s="28">
        <f t="shared" si="19"/>
        <v>2474.00136</v>
      </c>
      <c r="G171" s="28">
        <f>SUM(G172:G175)</f>
        <v>746.7354</v>
      </c>
      <c r="H171" s="28">
        <f t="shared" si="27"/>
        <v>0</v>
      </c>
      <c r="I171" s="28">
        <f t="shared" si="27"/>
        <v>0</v>
      </c>
      <c r="J171" s="28">
        <f>SUM(J172:J175)</f>
        <v>1727.2659600000002</v>
      </c>
      <c r="K171" s="28">
        <f t="shared" si="27"/>
        <v>0</v>
      </c>
      <c r="L171" s="28">
        <f t="shared" si="27"/>
        <v>0</v>
      </c>
      <c r="M171" s="28">
        <f t="shared" si="26"/>
        <v>2474.00136</v>
      </c>
    </row>
    <row r="172" spans="1:13" ht="106.5" customHeight="1">
      <c r="A172" s="4" t="s">
        <v>238</v>
      </c>
      <c r="B172" s="5" t="s">
        <v>14</v>
      </c>
      <c r="C172" s="28"/>
      <c r="D172" s="28"/>
      <c r="E172" s="28"/>
      <c r="F172" s="28">
        <f t="shared" si="19"/>
        <v>85</v>
      </c>
      <c r="G172" s="28">
        <v>53.57</v>
      </c>
      <c r="H172" s="28"/>
      <c r="I172" s="28"/>
      <c r="J172" s="28">
        <v>31.43</v>
      </c>
      <c r="K172" s="28"/>
      <c r="L172" s="28"/>
      <c r="M172" s="28">
        <f t="shared" si="26"/>
        <v>85</v>
      </c>
    </row>
    <row r="173" spans="1:13" ht="153" customHeight="1">
      <c r="A173" s="4" t="s">
        <v>238</v>
      </c>
      <c r="B173" s="5" t="s">
        <v>334</v>
      </c>
      <c r="C173" s="28"/>
      <c r="D173" s="28"/>
      <c r="E173" s="28"/>
      <c r="F173" s="28">
        <f t="shared" si="19"/>
        <v>1842.70136</v>
      </c>
      <c r="G173" s="28">
        <f>365+45.2654+108.1</f>
        <v>518.3654</v>
      </c>
      <c r="H173" s="28"/>
      <c r="I173" s="28"/>
      <c r="J173" s="28">
        <f>775.6+313.33596+235.4</f>
        <v>1324.3359600000001</v>
      </c>
      <c r="K173" s="28"/>
      <c r="L173" s="28"/>
      <c r="M173" s="28">
        <f t="shared" si="26"/>
        <v>1842.70136</v>
      </c>
    </row>
    <row r="174" spans="1:13" ht="113.25" customHeight="1" hidden="1">
      <c r="A174" s="4" t="s">
        <v>238</v>
      </c>
      <c r="B174" s="5" t="s">
        <v>335</v>
      </c>
      <c r="C174" s="28"/>
      <c r="D174" s="28"/>
      <c r="E174" s="28"/>
      <c r="F174" s="28">
        <f t="shared" si="19"/>
        <v>0</v>
      </c>
      <c r="G174" s="28"/>
      <c r="H174" s="28"/>
      <c r="I174" s="28"/>
      <c r="J174" s="28"/>
      <c r="K174" s="28"/>
      <c r="L174" s="28"/>
      <c r="M174" s="28">
        <f t="shared" si="26"/>
        <v>0</v>
      </c>
    </row>
    <row r="175" spans="1:13" ht="168.75" customHeight="1">
      <c r="A175" s="4" t="s">
        <v>238</v>
      </c>
      <c r="B175" s="5" t="s">
        <v>171</v>
      </c>
      <c r="C175" s="28"/>
      <c r="D175" s="28"/>
      <c r="E175" s="28"/>
      <c r="F175" s="28">
        <f>G175+J175</f>
        <v>546.3</v>
      </c>
      <c r="G175" s="28">
        <v>174.8</v>
      </c>
      <c r="H175" s="28"/>
      <c r="I175" s="28"/>
      <c r="J175" s="28">
        <v>371.5</v>
      </c>
      <c r="K175" s="28"/>
      <c r="L175" s="28"/>
      <c r="M175" s="28">
        <f>C175+F175</f>
        <v>546.3</v>
      </c>
    </row>
    <row r="176" spans="1:13" ht="51" customHeight="1">
      <c r="A176" s="4" t="s">
        <v>268</v>
      </c>
      <c r="B176" s="10" t="s">
        <v>291</v>
      </c>
      <c r="C176" s="28">
        <f>SUM(C177:C188)</f>
        <v>251.03211</v>
      </c>
      <c r="D176" s="28">
        <f>SUM(D177:D188)</f>
        <v>0</v>
      </c>
      <c r="E176" s="28">
        <f>SUM(E177:E188)</f>
        <v>0</v>
      </c>
      <c r="F176" s="28">
        <f>G176+J176</f>
        <v>136.37846</v>
      </c>
      <c r="G176" s="28">
        <f aca="true" t="shared" si="28" ref="G176:L176">SUM(G177:G188)</f>
        <v>0</v>
      </c>
      <c r="H176" s="28">
        <f t="shared" si="28"/>
        <v>0</v>
      </c>
      <c r="I176" s="28">
        <f t="shared" si="28"/>
        <v>0</v>
      </c>
      <c r="J176" s="28">
        <f t="shared" si="28"/>
        <v>136.37846</v>
      </c>
      <c r="K176" s="28">
        <f t="shared" si="28"/>
        <v>136.37846</v>
      </c>
      <c r="L176" s="28">
        <f t="shared" si="28"/>
        <v>0</v>
      </c>
      <c r="M176" s="28">
        <f>C176+F176</f>
        <v>387.41057</v>
      </c>
    </row>
    <row r="177" spans="1:13" ht="225" hidden="1">
      <c r="A177" s="4" t="s">
        <v>268</v>
      </c>
      <c r="B177" s="10" t="s">
        <v>344</v>
      </c>
      <c r="C177" s="28"/>
      <c r="D177" s="28"/>
      <c r="E177" s="28"/>
      <c r="F177" s="28">
        <f t="shared" si="19"/>
        <v>0</v>
      </c>
      <c r="G177" s="78"/>
      <c r="H177" s="28"/>
      <c r="I177" s="28"/>
      <c r="J177" s="28"/>
      <c r="K177" s="28"/>
      <c r="L177" s="28"/>
      <c r="M177" s="28">
        <f t="shared" si="26"/>
        <v>0</v>
      </c>
    </row>
    <row r="178" spans="1:13" ht="131.25" hidden="1">
      <c r="A178" s="4" t="s">
        <v>268</v>
      </c>
      <c r="B178" s="5" t="s">
        <v>343</v>
      </c>
      <c r="C178" s="28"/>
      <c r="D178" s="28"/>
      <c r="E178" s="28"/>
      <c r="F178" s="28">
        <f t="shared" si="19"/>
        <v>0</v>
      </c>
      <c r="G178" s="78"/>
      <c r="H178" s="28"/>
      <c r="I178" s="28"/>
      <c r="J178" s="28"/>
      <c r="K178" s="28"/>
      <c r="L178" s="28"/>
      <c r="M178" s="28">
        <f t="shared" si="26"/>
        <v>0</v>
      </c>
    </row>
    <row r="179" spans="1:13" ht="168.75" hidden="1">
      <c r="A179" s="4" t="s">
        <v>268</v>
      </c>
      <c r="B179" s="10" t="s">
        <v>321</v>
      </c>
      <c r="C179" s="28"/>
      <c r="D179" s="28"/>
      <c r="E179" s="28"/>
      <c r="F179" s="28">
        <f t="shared" si="19"/>
        <v>0</v>
      </c>
      <c r="G179" s="78"/>
      <c r="H179" s="28"/>
      <c r="I179" s="28"/>
      <c r="J179" s="28"/>
      <c r="K179" s="28"/>
      <c r="L179" s="28"/>
      <c r="M179" s="28">
        <f t="shared" si="26"/>
        <v>0</v>
      </c>
    </row>
    <row r="180" spans="1:13" ht="1.5" customHeight="1" hidden="1">
      <c r="A180" s="4" t="s">
        <v>268</v>
      </c>
      <c r="B180" s="81" t="s">
        <v>190</v>
      </c>
      <c r="C180" s="28"/>
      <c r="D180" s="28"/>
      <c r="E180" s="28"/>
      <c r="F180" s="28">
        <f t="shared" si="19"/>
        <v>0</v>
      </c>
      <c r="G180" s="78"/>
      <c r="H180" s="28"/>
      <c r="I180" s="28"/>
      <c r="J180" s="28"/>
      <c r="K180" s="28"/>
      <c r="L180" s="28"/>
      <c r="M180" s="28">
        <f t="shared" si="26"/>
        <v>0</v>
      </c>
    </row>
    <row r="181" spans="1:13" ht="112.5" hidden="1">
      <c r="A181" s="4" t="s">
        <v>268</v>
      </c>
      <c r="B181" s="10" t="s">
        <v>270</v>
      </c>
      <c r="C181" s="28"/>
      <c r="D181" s="28"/>
      <c r="E181" s="28"/>
      <c r="F181" s="28">
        <f t="shared" si="19"/>
        <v>0</v>
      </c>
      <c r="G181" s="78"/>
      <c r="H181" s="28"/>
      <c r="I181" s="28"/>
      <c r="J181" s="28"/>
      <c r="K181" s="28"/>
      <c r="L181" s="28"/>
      <c r="M181" s="28">
        <f t="shared" si="26"/>
        <v>0</v>
      </c>
    </row>
    <row r="182" spans="1:13" ht="93.75" hidden="1">
      <c r="A182" s="4" t="s">
        <v>268</v>
      </c>
      <c r="B182" s="10" t="s">
        <v>118</v>
      </c>
      <c r="C182" s="28"/>
      <c r="D182" s="28"/>
      <c r="E182" s="28"/>
      <c r="F182" s="28">
        <f t="shared" si="19"/>
        <v>0</v>
      </c>
      <c r="G182" s="78"/>
      <c r="H182" s="28"/>
      <c r="I182" s="28"/>
      <c r="J182" s="28"/>
      <c r="K182" s="28"/>
      <c r="L182" s="28"/>
      <c r="M182" s="28">
        <f t="shared" si="26"/>
        <v>0</v>
      </c>
    </row>
    <row r="183" spans="1:13" ht="93.75" hidden="1">
      <c r="A183" s="4" t="s">
        <v>268</v>
      </c>
      <c r="B183" s="10" t="s">
        <v>120</v>
      </c>
      <c r="C183" s="28"/>
      <c r="D183" s="28"/>
      <c r="E183" s="28"/>
      <c r="F183" s="28">
        <f t="shared" si="19"/>
        <v>0</v>
      </c>
      <c r="G183" s="78"/>
      <c r="H183" s="28"/>
      <c r="I183" s="28"/>
      <c r="J183" s="28"/>
      <c r="K183" s="28"/>
      <c r="L183" s="28"/>
      <c r="M183" s="28">
        <f t="shared" si="26"/>
        <v>0</v>
      </c>
    </row>
    <row r="184" spans="1:13" ht="168.75" hidden="1">
      <c r="A184" s="4" t="s">
        <v>268</v>
      </c>
      <c r="B184" s="10" t="s">
        <v>320</v>
      </c>
      <c r="C184" s="28"/>
      <c r="D184" s="28"/>
      <c r="E184" s="28"/>
      <c r="F184" s="28">
        <f t="shared" si="19"/>
        <v>0</v>
      </c>
      <c r="G184" s="78"/>
      <c r="H184" s="28"/>
      <c r="I184" s="28"/>
      <c r="J184" s="28"/>
      <c r="K184" s="28"/>
      <c r="L184" s="28"/>
      <c r="M184" s="28">
        <f t="shared" si="26"/>
        <v>0</v>
      </c>
    </row>
    <row r="185" spans="1:13" s="59" customFormat="1" ht="101.25" customHeight="1">
      <c r="A185" s="4" t="s">
        <v>268</v>
      </c>
      <c r="B185" s="81" t="s">
        <v>170</v>
      </c>
      <c r="C185" s="28"/>
      <c r="D185" s="28"/>
      <c r="E185" s="28"/>
      <c r="F185" s="28">
        <f t="shared" si="19"/>
        <v>65.4</v>
      </c>
      <c r="G185" s="28"/>
      <c r="H185" s="28"/>
      <c r="I185" s="28"/>
      <c r="J185" s="28">
        <v>65.4</v>
      </c>
      <c r="K185" s="28">
        <v>65.4</v>
      </c>
      <c r="L185" s="28"/>
      <c r="M185" s="58">
        <f t="shared" si="26"/>
        <v>65.4</v>
      </c>
    </row>
    <row r="186" spans="1:13" ht="88.5" customHeight="1">
      <c r="A186" s="4" t="s">
        <v>268</v>
      </c>
      <c r="B186" s="10" t="s">
        <v>51</v>
      </c>
      <c r="C186" s="28">
        <f>27.9+37.63955+79.49256+83</f>
        <v>228.03211</v>
      </c>
      <c r="D186" s="28"/>
      <c r="E186" s="28"/>
      <c r="F186" s="28">
        <f t="shared" si="19"/>
        <v>69.6</v>
      </c>
      <c r="G186" s="40"/>
      <c r="H186" s="28"/>
      <c r="I186" s="28"/>
      <c r="J186" s="28">
        <f>44+25.6</f>
        <v>69.6</v>
      </c>
      <c r="K186" s="28">
        <f>44+25.6</f>
        <v>69.6</v>
      </c>
      <c r="L186" s="28"/>
      <c r="M186" s="28">
        <f t="shared" si="26"/>
        <v>297.63211</v>
      </c>
    </row>
    <row r="187" spans="1:13" ht="105.75" customHeight="1">
      <c r="A187" s="4" t="s">
        <v>268</v>
      </c>
      <c r="B187" s="10" t="s">
        <v>56</v>
      </c>
      <c r="C187" s="28"/>
      <c r="D187" s="28"/>
      <c r="E187" s="28"/>
      <c r="F187" s="28">
        <f t="shared" si="19"/>
        <v>1.37846</v>
      </c>
      <c r="G187" s="28"/>
      <c r="H187" s="28"/>
      <c r="I187" s="28"/>
      <c r="J187" s="28">
        <v>1.37846</v>
      </c>
      <c r="K187" s="28">
        <v>1.37846</v>
      </c>
      <c r="L187" s="28"/>
      <c r="M187" s="28">
        <f t="shared" si="26"/>
        <v>1.37846</v>
      </c>
    </row>
    <row r="188" spans="1:13" ht="113.25" customHeight="1">
      <c r="A188" s="4" t="s">
        <v>268</v>
      </c>
      <c r="B188" s="10" t="s">
        <v>5</v>
      </c>
      <c r="C188" s="28">
        <v>23</v>
      </c>
      <c r="D188" s="28"/>
      <c r="E188" s="28"/>
      <c r="F188" s="28">
        <f>G188+J188</f>
        <v>0</v>
      </c>
      <c r="G188" s="28"/>
      <c r="H188" s="28"/>
      <c r="I188" s="28"/>
      <c r="J188" s="28"/>
      <c r="K188" s="28"/>
      <c r="L188" s="28"/>
      <c r="M188" s="28">
        <f>C188+F188</f>
        <v>23</v>
      </c>
    </row>
    <row r="189" spans="1:13" ht="28.5" customHeight="1" hidden="1">
      <c r="A189" s="4" t="s">
        <v>22</v>
      </c>
      <c r="B189" s="10" t="s">
        <v>275</v>
      </c>
      <c r="C189" s="28">
        <f>SUM(C190)</f>
        <v>0</v>
      </c>
      <c r="D189" s="28">
        <f aca="true" t="shared" si="29" ref="D189:L189">SUM(D190)</f>
        <v>0</v>
      </c>
      <c r="E189" s="28">
        <f t="shared" si="29"/>
        <v>0</v>
      </c>
      <c r="F189" s="28">
        <f t="shared" si="19"/>
        <v>0</v>
      </c>
      <c r="G189" s="28">
        <f t="shared" si="29"/>
        <v>0</v>
      </c>
      <c r="H189" s="28">
        <f t="shared" si="29"/>
        <v>0</v>
      </c>
      <c r="I189" s="28">
        <f t="shared" si="29"/>
        <v>0</v>
      </c>
      <c r="J189" s="28">
        <f t="shared" si="29"/>
        <v>0</v>
      </c>
      <c r="K189" s="28">
        <f t="shared" si="29"/>
        <v>0</v>
      </c>
      <c r="L189" s="28">
        <f t="shared" si="29"/>
        <v>0</v>
      </c>
      <c r="M189" s="28">
        <f t="shared" si="26"/>
        <v>0</v>
      </c>
    </row>
    <row r="190" spans="1:13" ht="99" customHeight="1" hidden="1">
      <c r="A190" s="4" t="s">
        <v>278</v>
      </c>
      <c r="B190" s="20" t="s">
        <v>93</v>
      </c>
      <c r="C190" s="28"/>
      <c r="D190" s="28"/>
      <c r="E190" s="28"/>
      <c r="F190" s="28">
        <f t="shared" si="19"/>
        <v>0</v>
      </c>
      <c r="G190" s="78"/>
      <c r="H190" s="28"/>
      <c r="I190" s="28"/>
      <c r="J190" s="28"/>
      <c r="K190" s="28"/>
      <c r="L190" s="28"/>
      <c r="M190" s="28">
        <f t="shared" si="26"/>
        <v>0</v>
      </c>
    </row>
    <row r="191" spans="1:13" ht="33.75" customHeight="1">
      <c r="A191" s="4" t="s">
        <v>117</v>
      </c>
      <c r="B191" s="8" t="s">
        <v>179</v>
      </c>
      <c r="C191" s="28">
        <f>SUM(C192:C192)</f>
        <v>0</v>
      </c>
      <c r="D191" s="28">
        <f>SUM(D192:D192)</f>
        <v>0</v>
      </c>
      <c r="E191" s="28">
        <f>SUM(E192:E192)</f>
        <v>0</v>
      </c>
      <c r="F191" s="28">
        <f>G191+J191</f>
        <v>124</v>
      </c>
      <c r="G191" s="28">
        <f aca="true" t="shared" si="30" ref="G191:L191">SUM(G192:G193)</f>
        <v>99</v>
      </c>
      <c r="H191" s="28">
        <f t="shared" si="30"/>
        <v>0</v>
      </c>
      <c r="I191" s="28">
        <f t="shared" si="30"/>
        <v>0</v>
      </c>
      <c r="J191" s="28">
        <f t="shared" si="30"/>
        <v>25</v>
      </c>
      <c r="K191" s="28">
        <f t="shared" si="30"/>
        <v>0</v>
      </c>
      <c r="L191" s="28">
        <f t="shared" si="30"/>
        <v>0</v>
      </c>
      <c r="M191" s="28">
        <f t="shared" si="26"/>
        <v>124</v>
      </c>
    </row>
    <row r="192" spans="1:13" ht="79.5" customHeight="1">
      <c r="A192" s="4" t="s">
        <v>282</v>
      </c>
      <c r="B192" s="8" t="s">
        <v>269</v>
      </c>
      <c r="C192" s="28"/>
      <c r="D192" s="28"/>
      <c r="E192" s="28"/>
      <c r="F192" s="28">
        <f t="shared" si="19"/>
        <v>124</v>
      </c>
      <c r="G192" s="28">
        <v>99</v>
      </c>
      <c r="H192" s="28"/>
      <c r="I192" s="28"/>
      <c r="J192" s="28">
        <v>25</v>
      </c>
      <c r="K192" s="28"/>
      <c r="L192" s="28"/>
      <c r="M192" s="28">
        <f t="shared" si="26"/>
        <v>124</v>
      </c>
    </row>
    <row r="193" spans="1:13" ht="104.25" customHeight="1" hidden="1">
      <c r="A193" s="4" t="s">
        <v>31</v>
      </c>
      <c r="B193" s="8" t="s">
        <v>57</v>
      </c>
      <c r="C193" s="28"/>
      <c r="D193" s="28"/>
      <c r="E193" s="28"/>
      <c r="F193" s="28">
        <f t="shared" si="19"/>
        <v>0</v>
      </c>
      <c r="G193" s="28"/>
      <c r="H193" s="28"/>
      <c r="I193" s="28"/>
      <c r="J193" s="28"/>
      <c r="K193" s="28"/>
      <c r="L193" s="28"/>
      <c r="M193" s="28">
        <f t="shared" si="26"/>
        <v>0</v>
      </c>
    </row>
    <row r="194" spans="1:14" ht="48.75" customHeight="1">
      <c r="A194" s="30" t="s">
        <v>134</v>
      </c>
      <c r="B194" s="33" t="s">
        <v>102</v>
      </c>
      <c r="C194" s="36">
        <f>SUM(C196:C201)</f>
        <v>60654.38129</v>
      </c>
      <c r="D194" s="36">
        <f>SUM(D196:D201)</f>
        <v>711.9</v>
      </c>
      <c r="E194" s="36">
        <f>SUM(E196:E201)</f>
        <v>12</v>
      </c>
      <c r="F194" s="36">
        <f>SUM(F196:F201)</f>
        <v>16022.739</v>
      </c>
      <c r="G194" s="36">
        <f aca="true" t="shared" si="31" ref="G194:L194">SUM(G196:G201)</f>
        <v>16000</v>
      </c>
      <c r="H194" s="36">
        <f t="shared" si="31"/>
        <v>0</v>
      </c>
      <c r="I194" s="36">
        <f t="shared" si="31"/>
        <v>0</v>
      </c>
      <c r="J194" s="36">
        <f t="shared" si="31"/>
        <v>22.739</v>
      </c>
      <c r="K194" s="36">
        <f t="shared" si="31"/>
        <v>22.739</v>
      </c>
      <c r="L194" s="36">
        <f t="shared" si="31"/>
        <v>0</v>
      </c>
      <c r="M194" s="36">
        <f>C194+F194</f>
        <v>76677.12028999999</v>
      </c>
      <c r="N194" s="51">
        <f>SUM(M196:M198)</f>
        <v>76627.12028999999</v>
      </c>
    </row>
    <row r="195" spans="1:14" ht="48.75" customHeight="1">
      <c r="A195" s="85"/>
      <c r="B195" s="49" t="s">
        <v>97</v>
      </c>
      <c r="C195" s="86"/>
      <c r="D195" s="86"/>
      <c r="E195" s="86"/>
      <c r="F195" s="86">
        <f>G195</f>
        <v>16000</v>
      </c>
      <c r="G195" s="86">
        <f>G197</f>
        <v>16000</v>
      </c>
      <c r="H195" s="86"/>
      <c r="I195" s="86"/>
      <c r="J195" s="86"/>
      <c r="K195" s="86"/>
      <c r="L195" s="86"/>
      <c r="M195" s="86">
        <f>F195+C195</f>
        <v>16000</v>
      </c>
      <c r="N195" s="51"/>
    </row>
    <row r="196" spans="1:13" ht="42" customHeight="1">
      <c r="A196" s="4" t="s">
        <v>222</v>
      </c>
      <c r="B196" s="8" t="s">
        <v>206</v>
      </c>
      <c r="C196" s="38">
        <f>1012+111.18129+16.6</f>
        <v>1139.78129</v>
      </c>
      <c r="D196" s="38">
        <v>711.9</v>
      </c>
      <c r="E196" s="38">
        <v>12</v>
      </c>
      <c r="F196" s="57">
        <f>G196+J196</f>
        <v>22.739</v>
      </c>
      <c r="G196" s="38"/>
      <c r="H196" s="38"/>
      <c r="I196" s="38"/>
      <c r="J196" s="38">
        <v>22.739</v>
      </c>
      <c r="K196" s="38">
        <v>22.739</v>
      </c>
      <c r="L196" s="38"/>
      <c r="M196" s="58">
        <f>C196+F196</f>
        <v>1162.52029</v>
      </c>
    </row>
    <row r="197" spans="1:13" ht="204.75" customHeight="1">
      <c r="A197" s="4" t="s">
        <v>315</v>
      </c>
      <c r="B197" s="8" t="s">
        <v>319</v>
      </c>
      <c r="C197" s="38"/>
      <c r="D197" s="38"/>
      <c r="E197" s="38"/>
      <c r="F197" s="57">
        <f>G197+J197</f>
        <v>16000</v>
      </c>
      <c r="G197" s="38">
        <v>16000</v>
      </c>
      <c r="H197" s="38"/>
      <c r="I197" s="38"/>
      <c r="J197" s="38"/>
      <c r="K197" s="38"/>
      <c r="L197" s="38"/>
      <c r="M197" s="58">
        <f>C197+F197</f>
        <v>16000</v>
      </c>
    </row>
    <row r="198" spans="1:13" ht="140.25" customHeight="1">
      <c r="A198" s="4" t="s">
        <v>242</v>
      </c>
      <c r="B198" s="8" t="s">
        <v>347</v>
      </c>
      <c r="C198" s="28">
        <f>66972.2-7507.6</f>
        <v>59464.6</v>
      </c>
      <c r="D198" s="28"/>
      <c r="E198" s="28"/>
      <c r="F198" s="28">
        <f>G198+J198</f>
        <v>0</v>
      </c>
      <c r="G198" s="78"/>
      <c r="H198" s="28"/>
      <c r="I198" s="28"/>
      <c r="J198" s="28"/>
      <c r="K198" s="28"/>
      <c r="L198" s="28"/>
      <c r="M198" s="28">
        <f>C198+F198</f>
        <v>59464.6</v>
      </c>
    </row>
    <row r="199" spans="1:13" s="59" customFormat="1" ht="39" customHeight="1">
      <c r="A199" s="4" t="s">
        <v>60</v>
      </c>
      <c r="B199" s="8" t="s">
        <v>61</v>
      </c>
      <c r="C199" s="28">
        <v>50</v>
      </c>
      <c r="D199" s="28"/>
      <c r="E199" s="28"/>
      <c r="F199" s="57">
        <f t="shared" si="19"/>
        <v>0</v>
      </c>
      <c r="G199" s="28"/>
      <c r="H199" s="28"/>
      <c r="I199" s="28"/>
      <c r="J199" s="28"/>
      <c r="K199" s="28"/>
      <c r="L199" s="28"/>
      <c r="M199" s="58">
        <f t="shared" si="26"/>
        <v>50</v>
      </c>
    </row>
    <row r="200" spans="1:13" ht="68.25" customHeight="1" hidden="1">
      <c r="A200" s="4" t="s">
        <v>286</v>
      </c>
      <c r="B200" s="5" t="s">
        <v>287</v>
      </c>
      <c r="C200" s="28"/>
      <c r="D200" s="28"/>
      <c r="E200" s="28"/>
      <c r="F200" s="28">
        <f t="shared" si="19"/>
        <v>0</v>
      </c>
      <c r="G200" s="78"/>
      <c r="H200" s="28"/>
      <c r="I200" s="28"/>
      <c r="J200" s="28"/>
      <c r="K200" s="28"/>
      <c r="L200" s="28"/>
      <c r="M200" s="28">
        <f t="shared" si="26"/>
        <v>0</v>
      </c>
    </row>
    <row r="201" spans="1:13" ht="81" customHeight="1" hidden="1">
      <c r="A201" s="4" t="s">
        <v>48</v>
      </c>
      <c r="B201" s="10" t="s">
        <v>49</v>
      </c>
      <c r="C201" s="28"/>
      <c r="D201" s="28"/>
      <c r="E201" s="28"/>
      <c r="F201" s="28">
        <f t="shared" si="19"/>
        <v>0</v>
      </c>
      <c r="G201" s="78"/>
      <c r="H201" s="28"/>
      <c r="I201" s="28"/>
      <c r="J201" s="28"/>
      <c r="K201" s="28"/>
      <c r="L201" s="28"/>
      <c r="M201" s="28">
        <f t="shared" si="26"/>
        <v>0</v>
      </c>
    </row>
    <row r="202" spans="1:14" ht="43.5" customHeight="1">
      <c r="A202" s="30" t="s">
        <v>135</v>
      </c>
      <c r="B202" s="34" t="s">
        <v>103</v>
      </c>
      <c r="C202" s="36">
        <f>C204+C205+C212+C221+C222+C232+C223+C224+C225+C226+C229</f>
        <v>5288.55792</v>
      </c>
      <c r="D202" s="36">
        <f aca="true" t="shared" si="32" ref="D202:L202">D204+D205+D212+D221+D222+D232+D223+D224+D225+D226+D229</f>
        <v>3206.9660000000003</v>
      </c>
      <c r="E202" s="36">
        <f t="shared" si="32"/>
        <v>112.3</v>
      </c>
      <c r="F202" s="36">
        <f>F204+F205+F212+F221+F222+F232+F223+F224+F225+F226+F229+F228</f>
        <v>397.6421000000001</v>
      </c>
      <c r="G202" s="36">
        <f>G204+G205+G212+G221+G222+G232+G223+G224+G225+G226+G229+G228</f>
        <v>163.13849</v>
      </c>
      <c r="H202" s="36">
        <f t="shared" si="32"/>
        <v>80.46</v>
      </c>
      <c r="I202" s="36">
        <f t="shared" si="32"/>
        <v>0</v>
      </c>
      <c r="J202" s="36">
        <f t="shared" si="32"/>
        <v>234.50361</v>
      </c>
      <c r="K202" s="36">
        <f t="shared" si="32"/>
        <v>214.50361</v>
      </c>
      <c r="L202" s="36">
        <f t="shared" si="32"/>
        <v>0</v>
      </c>
      <c r="M202" s="36">
        <f>F202+C202</f>
        <v>5686.20002</v>
      </c>
      <c r="N202" s="51">
        <f>SUM(M204:M232)-M205-M206</f>
        <v>5686.200020000002</v>
      </c>
    </row>
    <row r="203" spans="1:13" s="87" customFormat="1" ht="53.25" customHeight="1">
      <c r="A203" s="85"/>
      <c r="B203" s="49" t="s">
        <v>97</v>
      </c>
      <c r="C203" s="86">
        <f>D203+G203</f>
        <v>7.69698</v>
      </c>
      <c r="D203" s="86">
        <f>E203+H203</f>
        <v>3.84849</v>
      </c>
      <c r="E203" s="86">
        <f>F203+I203</f>
        <v>3.84849</v>
      </c>
      <c r="F203" s="86">
        <f aca="true" t="shared" si="33" ref="F203:F220">G203+J203</f>
        <v>3.84849</v>
      </c>
      <c r="G203" s="86">
        <f>G227+G228</f>
        <v>3.84849</v>
      </c>
      <c r="H203" s="86">
        <f>H227</f>
        <v>0</v>
      </c>
      <c r="I203" s="86">
        <f>I227</f>
        <v>0</v>
      </c>
      <c r="J203" s="86">
        <f>J227</f>
        <v>0</v>
      </c>
      <c r="K203" s="86">
        <f>K227</f>
        <v>0</v>
      </c>
      <c r="L203" s="86">
        <f>L227</f>
        <v>0</v>
      </c>
      <c r="M203" s="86">
        <f t="shared" si="26"/>
        <v>11.54547</v>
      </c>
    </row>
    <row r="204" spans="1:13" ht="66" customHeight="1">
      <c r="A204" s="4" t="s">
        <v>222</v>
      </c>
      <c r="B204" s="8" t="s">
        <v>129</v>
      </c>
      <c r="C204" s="38">
        <f>395.7+24.77095+11.05</f>
        <v>431.52095</v>
      </c>
      <c r="D204" s="38">
        <v>269.9</v>
      </c>
      <c r="E204" s="38">
        <v>8.7</v>
      </c>
      <c r="F204" s="28">
        <f t="shared" si="33"/>
        <v>2.3</v>
      </c>
      <c r="G204" s="84"/>
      <c r="H204" s="84"/>
      <c r="I204" s="84"/>
      <c r="J204" s="84">
        <v>2.3</v>
      </c>
      <c r="K204" s="84">
        <v>2.3</v>
      </c>
      <c r="L204" s="84"/>
      <c r="M204" s="64">
        <f>C204+F204</f>
        <v>433.82095000000004</v>
      </c>
    </row>
    <row r="205" spans="1:14" ht="22.5" customHeight="1">
      <c r="A205" s="4" t="s">
        <v>283</v>
      </c>
      <c r="B205" s="5" t="s">
        <v>284</v>
      </c>
      <c r="C205" s="28">
        <f>SUM(C207:C211)</f>
        <v>3489.77979</v>
      </c>
      <c r="D205" s="28">
        <f>SUM(D207:D211)</f>
        <v>2182.846</v>
      </c>
      <c r="E205" s="28">
        <f aca="true" t="shared" si="34" ref="E205:L205">SUM(E207:E211)</f>
        <v>73.3</v>
      </c>
      <c r="F205" s="28">
        <f t="shared" si="34"/>
        <v>364.57361000000003</v>
      </c>
      <c r="G205" s="28">
        <f t="shared" si="34"/>
        <v>137.59</v>
      </c>
      <c r="H205" s="28">
        <f t="shared" si="34"/>
        <v>80.46</v>
      </c>
      <c r="I205" s="28">
        <f t="shared" si="34"/>
        <v>0</v>
      </c>
      <c r="J205" s="28">
        <f t="shared" si="34"/>
        <v>226.98361</v>
      </c>
      <c r="K205" s="28">
        <f t="shared" si="34"/>
        <v>206.98361</v>
      </c>
      <c r="L205" s="28">
        <f t="shared" si="34"/>
        <v>0</v>
      </c>
      <c r="M205" s="28">
        <f>SUM(M207:M211)</f>
        <v>3854.3534</v>
      </c>
      <c r="N205" s="51">
        <f>F205+D205</f>
        <v>2547.41961</v>
      </c>
    </row>
    <row r="206" spans="1:14" ht="28.5" customHeight="1">
      <c r="A206" s="4" t="s">
        <v>283</v>
      </c>
      <c r="B206" s="8" t="s">
        <v>176</v>
      </c>
      <c r="C206" s="28">
        <f>SUM(C207:C210)</f>
        <v>3277.93302</v>
      </c>
      <c r="D206" s="28">
        <f aca="true" t="shared" si="35" ref="D206:L206">SUM(D207:D210)</f>
        <v>2182.846</v>
      </c>
      <c r="E206" s="28">
        <f t="shared" si="35"/>
        <v>73.3</v>
      </c>
      <c r="F206" s="28">
        <f>SUM(F207:F210)</f>
        <v>321.57361000000003</v>
      </c>
      <c r="G206" s="28">
        <f t="shared" si="35"/>
        <v>137.59</v>
      </c>
      <c r="H206" s="28">
        <f t="shared" si="35"/>
        <v>80.46</v>
      </c>
      <c r="I206" s="28">
        <f t="shared" si="35"/>
        <v>0</v>
      </c>
      <c r="J206" s="28">
        <f>SUM(J207:J210)</f>
        <v>183.98361</v>
      </c>
      <c r="K206" s="28">
        <f>SUM(K207:K210)</f>
        <v>163.98361</v>
      </c>
      <c r="L206" s="28">
        <f t="shared" si="35"/>
        <v>0</v>
      </c>
      <c r="M206" s="28">
        <f>SUM(M207:M210)</f>
        <v>3599.50663</v>
      </c>
      <c r="N206" s="51">
        <f>F206+C206</f>
        <v>3599.50663</v>
      </c>
    </row>
    <row r="207" spans="1:13" ht="24" customHeight="1">
      <c r="A207" s="4" t="s">
        <v>262</v>
      </c>
      <c r="B207" s="5" t="s">
        <v>285</v>
      </c>
      <c r="C207" s="28">
        <f>428.641+11.4554+26.1</f>
        <v>466.19640000000004</v>
      </c>
      <c r="D207" s="28">
        <v>292.721</v>
      </c>
      <c r="E207" s="28">
        <v>11.46</v>
      </c>
      <c r="F207" s="28">
        <f t="shared" si="33"/>
        <v>30</v>
      </c>
      <c r="G207" s="28"/>
      <c r="H207" s="28"/>
      <c r="I207" s="28"/>
      <c r="J207" s="28">
        <v>30</v>
      </c>
      <c r="K207" s="28">
        <v>30</v>
      </c>
      <c r="L207" s="28"/>
      <c r="M207" s="58">
        <f>C207+F207</f>
        <v>496.19640000000004</v>
      </c>
    </row>
    <row r="208" spans="1:13" ht="29.25" customHeight="1">
      <c r="A208" s="4" t="s">
        <v>266</v>
      </c>
      <c r="B208" s="8" t="s">
        <v>293</v>
      </c>
      <c r="C208" s="28">
        <f>260.767+5.64288+7.65</f>
        <v>274.05987999999996</v>
      </c>
      <c r="D208" s="28">
        <v>164.935</v>
      </c>
      <c r="E208" s="28">
        <v>31.43</v>
      </c>
      <c r="F208" s="28">
        <f t="shared" si="33"/>
        <v>5</v>
      </c>
      <c r="G208" s="28"/>
      <c r="H208" s="28"/>
      <c r="I208" s="28"/>
      <c r="J208" s="28">
        <v>5</v>
      </c>
      <c r="K208" s="28">
        <v>5</v>
      </c>
      <c r="L208" s="28"/>
      <c r="M208" s="58">
        <f>C208+F208</f>
        <v>279.05987999999996</v>
      </c>
    </row>
    <row r="209" spans="1:13" ht="33.75" customHeight="1">
      <c r="A209" s="4" t="s">
        <v>263</v>
      </c>
      <c r="B209" s="5" t="s">
        <v>292</v>
      </c>
      <c r="C209" s="28">
        <f>2152.877+34.69119+59.2</f>
        <v>2246.76819</v>
      </c>
      <c r="D209" s="28">
        <v>1544.242</v>
      </c>
      <c r="E209" s="28">
        <v>26.7</v>
      </c>
      <c r="F209" s="28">
        <f t="shared" si="33"/>
        <v>286.57361000000003</v>
      </c>
      <c r="G209" s="28">
        <v>137.59</v>
      </c>
      <c r="H209" s="28">
        <v>80.46</v>
      </c>
      <c r="I209" s="28"/>
      <c r="J209" s="28">
        <f>20+128.98361</f>
        <v>148.98361</v>
      </c>
      <c r="K209" s="28">
        <f>128.98361</f>
        <v>128.98361</v>
      </c>
      <c r="L209" s="28"/>
      <c r="M209" s="58">
        <f>C209+F209</f>
        <v>2533.3417999999997</v>
      </c>
    </row>
    <row r="210" spans="1:13" ht="45.75" customHeight="1">
      <c r="A210" s="4" t="s">
        <v>264</v>
      </c>
      <c r="B210" s="5" t="s">
        <v>33</v>
      </c>
      <c r="C210" s="28">
        <f>263.415+17.11355+10.38</f>
        <v>290.90855</v>
      </c>
      <c r="D210" s="28">
        <v>180.948</v>
      </c>
      <c r="E210" s="91">
        <v>3.71</v>
      </c>
      <c r="F210" s="28">
        <f t="shared" si="33"/>
        <v>0</v>
      </c>
      <c r="G210" s="28"/>
      <c r="H210" s="28"/>
      <c r="I210" s="28"/>
      <c r="J210" s="28"/>
      <c r="K210" s="28"/>
      <c r="L210" s="28"/>
      <c r="M210" s="58">
        <f>C210+F210</f>
        <v>290.90855</v>
      </c>
    </row>
    <row r="211" spans="1:13" ht="58.5" customHeight="1">
      <c r="A211" s="4" t="s">
        <v>264</v>
      </c>
      <c r="B211" s="8" t="s">
        <v>191</v>
      </c>
      <c r="C211" s="28">
        <f>157+26.4855+28.36127</f>
        <v>211.84677</v>
      </c>
      <c r="D211" s="28"/>
      <c r="E211" s="28"/>
      <c r="F211" s="28">
        <f t="shared" si="33"/>
        <v>43</v>
      </c>
      <c r="G211" s="44"/>
      <c r="H211" s="44"/>
      <c r="I211" s="44"/>
      <c r="J211" s="44">
        <v>43</v>
      </c>
      <c r="K211" s="44">
        <v>43</v>
      </c>
      <c r="L211" s="44"/>
      <c r="M211" s="58">
        <f>C211+F211</f>
        <v>254.84677</v>
      </c>
    </row>
    <row r="212" spans="1:13" ht="45" customHeight="1" hidden="1">
      <c r="A212" s="4" t="s">
        <v>233</v>
      </c>
      <c r="B212" s="8" t="s">
        <v>91</v>
      </c>
      <c r="C212" s="28"/>
      <c r="D212" s="28"/>
      <c r="E212" s="28"/>
      <c r="F212" s="28">
        <f t="shared" si="33"/>
        <v>0</v>
      </c>
      <c r="G212" s="78"/>
      <c r="H212" s="28"/>
      <c r="I212" s="28"/>
      <c r="J212" s="28"/>
      <c r="K212" s="28"/>
      <c r="L212" s="28"/>
      <c r="M212" s="28">
        <f t="shared" si="26"/>
        <v>0</v>
      </c>
    </row>
    <row r="213" spans="1:13" ht="79.5" customHeight="1" hidden="1">
      <c r="A213" s="4" t="s">
        <v>233</v>
      </c>
      <c r="B213" s="8" t="s">
        <v>87</v>
      </c>
      <c r="C213" s="28"/>
      <c r="D213" s="28"/>
      <c r="E213" s="28"/>
      <c r="F213" s="28">
        <f t="shared" si="33"/>
        <v>0</v>
      </c>
      <c r="G213" s="78"/>
      <c r="H213" s="28"/>
      <c r="I213" s="28"/>
      <c r="J213" s="28"/>
      <c r="K213" s="28"/>
      <c r="L213" s="28"/>
      <c r="M213" s="28">
        <f t="shared" si="26"/>
        <v>0</v>
      </c>
    </row>
    <row r="214" spans="1:13" ht="53.25" customHeight="1" hidden="1">
      <c r="A214" s="4" t="s">
        <v>233</v>
      </c>
      <c r="B214" s="8" t="s">
        <v>88</v>
      </c>
      <c r="C214" s="28"/>
      <c r="D214" s="28"/>
      <c r="E214" s="28"/>
      <c r="F214" s="28">
        <f t="shared" si="33"/>
        <v>0</v>
      </c>
      <c r="G214" s="78"/>
      <c r="H214" s="28"/>
      <c r="I214" s="28"/>
      <c r="J214" s="28"/>
      <c r="K214" s="28"/>
      <c r="L214" s="28"/>
      <c r="M214" s="28">
        <f t="shared" si="26"/>
        <v>0</v>
      </c>
    </row>
    <row r="215" spans="1:13" ht="63" customHeight="1" hidden="1">
      <c r="A215" s="4" t="s">
        <v>233</v>
      </c>
      <c r="B215" s="8" t="s">
        <v>89</v>
      </c>
      <c r="C215" s="28"/>
      <c r="D215" s="28"/>
      <c r="E215" s="28"/>
      <c r="F215" s="28">
        <f t="shared" si="33"/>
        <v>0</v>
      </c>
      <c r="G215" s="78"/>
      <c r="H215" s="28"/>
      <c r="I215" s="28"/>
      <c r="J215" s="28"/>
      <c r="K215" s="28"/>
      <c r="L215" s="28"/>
      <c r="M215" s="28">
        <f t="shared" si="26"/>
        <v>0</v>
      </c>
    </row>
    <row r="216" spans="1:13" ht="63" customHeight="1" hidden="1">
      <c r="A216" s="4" t="s">
        <v>233</v>
      </c>
      <c r="B216" s="25" t="s">
        <v>336</v>
      </c>
      <c r="C216" s="28"/>
      <c r="D216" s="28"/>
      <c r="E216" s="28"/>
      <c r="F216" s="28">
        <f t="shared" si="33"/>
        <v>0</v>
      </c>
      <c r="G216" s="78"/>
      <c r="H216" s="28"/>
      <c r="I216" s="28"/>
      <c r="J216" s="28"/>
      <c r="K216" s="28"/>
      <c r="L216" s="28"/>
      <c r="M216" s="28">
        <f t="shared" si="26"/>
        <v>0</v>
      </c>
    </row>
    <row r="217" spans="1:13" ht="68.25" customHeight="1" hidden="1">
      <c r="A217" s="4" t="s">
        <v>233</v>
      </c>
      <c r="B217" s="60" t="s">
        <v>337</v>
      </c>
      <c r="C217" s="28"/>
      <c r="D217" s="28"/>
      <c r="E217" s="28"/>
      <c r="F217" s="28">
        <f t="shared" si="33"/>
        <v>0</v>
      </c>
      <c r="G217" s="78"/>
      <c r="H217" s="28"/>
      <c r="I217" s="28"/>
      <c r="J217" s="28"/>
      <c r="K217" s="28"/>
      <c r="L217" s="28"/>
      <c r="M217" s="28">
        <f t="shared" si="26"/>
        <v>0</v>
      </c>
    </row>
    <row r="218" spans="1:13" ht="87.75" customHeight="1" hidden="1">
      <c r="A218" s="4" t="s">
        <v>233</v>
      </c>
      <c r="B218" s="60" t="s">
        <v>338</v>
      </c>
      <c r="C218" s="28"/>
      <c r="D218" s="28"/>
      <c r="E218" s="28"/>
      <c r="F218" s="28">
        <f t="shared" si="33"/>
        <v>0</v>
      </c>
      <c r="G218" s="78"/>
      <c r="H218" s="28"/>
      <c r="I218" s="28"/>
      <c r="J218" s="28"/>
      <c r="K218" s="28"/>
      <c r="L218" s="28"/>
      <c r="M218" s="28">
        <f t="shared" si="26"/>
        <v>0</v>
      </c>
    </row>
    <row r="219" spans="1:13" ht="63" customHeight="1" hidden="1">
      <c r="A219" s="4" t="s">
        <v>233</v>
      </c>
      <c r="B219" s="8" t="s">
        <v>90</v>
      </c>
      <c r="C219" s="28"/>
      <c r="D219" s="28"/>
      <c r="E219" s="28"/>
      <c r="F219" s="28">
        <f t="shared" si="33"/>
        <v>0</v>
      </c>
      <c r="G219" s="78"/>
      <c r="H219" s="28"/>
      <c r="I219" s="28"/>
      <c r="J219" s="28"/>
      <c r="K219" s="28"/>
      <c r="L219" s="28"/>
      <c r="M219" s="28">
        <f t="shared" si="26"/>
        <v>0</v>
      </c>
    </row>
    <row r="220" spans="1:13" ht="86.25" customHeight="1" hidden="1">
      <c r="A220" s="4" t="s">
        <v>233</v>
      </c>
      <c r="B220" s="8" t="s">
        <v>42</v>
      </c>
      <c r="C220" s="28"/>
      <c r="D220" s="28"/>
      <c r="E220" s="28"/>
      <c r="F220" s="28">
        <f t="shared" si="33"/>
        <v>0</v>
      </c>
      <c r="G220" s="78"/>
      <c r="H220" s="28"/>
      <c r="I220" s="28"/>
      <c r="J220" s="28"/>
      <c r="K220" s="28"/>
      <c r="L220" s="28"/>
      <c r="M220" s="28">
        <f t="shared" si="26"/>
        <v>0</v>
      </c>
    </row>
    <row r="221" spans="1:13" ht="72" customHeight="1">
      <c r="A221" s="4" t="s">
        <v>306</v>
      </c>
      <c r="B221" s="8" t="s">
        <v>85</v>
      </c>
      <c r="C221" s="28">
        <f>26+18.3039+5</f>
        <v>49.3039</v>
      </c>
      <c r="D221" s="28"/>
      <c r="E221" s="28"/>
      <c r="F221" s="28">
        <f aca="true" t="shared" si="36" ref="F221:F248">G221+J221</f>
        <v>0</v>
      </c>
      <c r="G221" s="78"/>
      <c r="H221" s="28"/>
      <c r="I221" s="28"/>
      <c r="J221" s="28"/>
      <c r="K221" s="28"/>
      <c r="L221" s="28"/>
      <c r="M221" s="28">
        <f t="shared" si="26"/>
        <v>49.3039</v>
      </c>
    </row>
    <row r="222" spans="1:13" ht="48" customHeight="1">
      <c r="A222" s="4" t="s">
        <v>341</v>
      </c>
      <c r="B222" s="95" t="s">
        <v>193</v>
      </c>
      <c r="C222" s="28">
        <v>7.3</v>
      </c>
      <c r="D222" s="28"/>
      <c r="E222" s="28"/>
      <c r="F222" s="28">
        <f>G222+J222</f>
        <v>0</v>
      </c>
      <c r="G222" s="28"/>
      <c r="H222" s="28"/>
      <c r="I222" s="28"/>
      <c r="J222" s="28"/>
      <c r="K222" s="28"/>
      <c r="L222" s="28"/>
      <c r="M222" s="28">
        <f>C222+F222</f>
        <v>7.3</v>
      </c>
    </row>
    <row r="223" spans="1:13" ht="93" customHeight="1">
      <c r="A223" s="4" t="s">
        <v>341</v>
      </c>
      <c r="B223" s="8" t="s">
        <v>192</v>
      </c>
      <c r="C223" s="28">
        <f>12.175+5.20781</f>
        <v>17.38281</v>
      </c>
      <c r="D223" s="28"/>
      <c r="E223" s="28"/>
      <c r="F223" s="28">
        <f t="shared" si="36"/>
        <v>0</v>
      </c>
      <c r="G223" s="78"/>
      <c r="H223" s="28"/>
      <c r="I223" s="28"/>
      <c r="J223" s="28"/>
      <c r="K223" s="28"/>
      <c r="L223" s="28"/>
      <c r="M223" s="28">
        <f t="shared" si="26"/>
        <v>17.38281</v>
      </c>
    </row>
    <row r="224" spans="1:13" ht="87" customHeight="1">
      <c r="A224" s="4" t="s">
        <v>203</v>
      </c>
      <c r="B224" s="8" t="s">
        <v>194</v>
      </c>
      <c r="C224" s="28">
        <f>18.515+10.79799</f>
        <v>29.31299</v>
      </c>
      <c r="D224" s="28"/>
      <c r="E224" s="28"/>
      <c r="F224" s="28">
        <f t="shared" si="36"/>
        <v>0</v>
      </c>
      <c r="G224" s="78"/>
      <c r="H224" s="28"/>
      <c r="I224" s="28"/>
      <c r="J224" s="28"/>
      <c r="K224" s="28"/>
      <c r="L224" s="28"/>
      <c r="M224" s="28">
        <f t="shared" si="26"/>
        <v>29.31299</v>
      </c>
    </row>
    <row r="225" spans="1:13" ht="84" customHeight="1">
      <c r="A225" s="4" t="s">
        <v>313</v>
      </c>
      <c r="B225" s="8" t="s">
        <v>196</v>
      </c>
      <c r="C225" s="46">
        <f>9.31+14.691</f>
        <v>24.001</v>
      </c>
      <c r="D225" s="28"/>
      <c r="E225" s="28"/>
      <c r="F225" s="28">
        <f t="shared" si="36"/>
        <v>0</v>
      </c>
      <c r="G225" s="78"/>
      <c r="H225" s="28"/>
      <c r="I225" s="28"/>
      <c r="J225" s="28"/>
      <c r="K225" s="28"/>
      <c r="L225" s="28"/>
      <c r="M225" s="28">
        <f t="shared" si="26"/>
        <v>24.001</v>
      </c>
    </row>
    <row r="226" spans="1:13" ht="60.75" customHeight="1">
      <c r="A226" s="4" t="s">
        <v>225</v>
      </c>
      <c r="B226" s="5" t="s">
        <v>195</v>
      </c>
      <c r="C226" s="28">
        <f>1099.7+95.43648+44.82</f>
        <v>1239.95648</v>
      </c>
      <c r="D226" s="28">
        <v>754.22</v>
      </c>
      <c r="E226" s="28">
        <v>30.3</v>
      </c>
      <c r="F226" s="28">
        <f t="shared" si="36"/>
        <v>5.22</v>
      </c>
      <c r="G226" s="28"/>
      <c r="H226" s="28"/>
      <c r="I226" s="28"/>
      <c r="J226" s="28">
        <v>5.22</v>
      </c>
      <c r="K226" s="28">
        <v>5.22</v>
      </c>
      <c r="L226" s="28"/>
      <c r="M226" s="58">
        <f t="shared" si="26"/>
        <v>1245.17648</v>
      </c>
    </row>
    <row r="227" spans="1:13" ht="0.75" customHeight="1" hidden="1">
      <c r="A227" s="4" t="s">
        <v>225</v>
      </c>
      <c r="B227" s="5" t="s">
        <v>37</v>
      </c>
      <c r="C227" s="28"/>
      <c r="D227" s="28"/>
      <c r="E227" s="28"/>
      <c r="F227" s="28">
        <f t="shared" si="36"/>
        <v>0</v>
      </c>
      <c r="G227" s="28"/>
      <c r="H227" s="28"/>
      <c r="I227" s="28"/>
      <c r="J227" s="28"/>
      <c r="K227" s="28"/>
      <c r="L227" s="28"/>
      <c r="M227" s="58">
        <f>C227+F227</f>
        <v>0</v>
      </c>
    </row>
    <row r="228" spans="1:13" ht="84.75" customHeight="1">
      <c r="A228" s="4" t="s">
        <v>225</v>
      </c>
      <c r="B228" s="5" t="s">
        <v>37</v>
      </c>
      <c r="C228" s="28"/>
      <c r="D228" s="28"/>
      <c r="E228" s="28"/>
      <c r="F228" s="28">
        <f t="shared" si="36"/>
        <v>3.84849</v>
      </c>
      <c r="G228" s="28">
        <v>3.84849</v>
      </c>
      <c r="H228" s="28"/>
      <c r="I228" s="28"/>
      <c r="J228" s="28"/>
      <c r="K228" s="28"/>
      <c r="L228" s="28"/>
      <c r="M228" s="58">
        <f>C228+F228</f>
        <v>3.84849</v>
      </c>
    </row>
    <row r="229" spans="1:13" ht="83.25" customHeight="1">
      <c r="A229" s="4" t="s">
        <v>31</v>
      </c>
      <c r="B229" s="5" t="s">
        <v>107</v>
      </c>
      <c r="C229" s="28"/>
      <c r="D229" s="28"/>
      <c r="E229" s="28"/>
      <c r="F229" s="28">
        <f t="shared" si="36"/>
        <v>20.7</v>
      </c>
      <c r="G229" s="28">
        <f>10.7+10</f>
        <v>20.7</v>
      </c>
      <c r="H229" s="28"/>
      <c r="I229" s="28"/>
      <c r="J229" s="28"/>
      <c r="K229" s="28"/>
      <c r="L229" s="28"/>
      <c r="M229" s="58">
        <f>C229+F229</f>
        <v>20.7</v>
      </c>
    </row>
    <row r="230" spans="1:13" ht="150.75" customHeight="1" hidden="1">
      <c r="A230" s="4" t="s">
        <v>31</v>
      </c>
      <c r="B230" s="10" t="s">
        <v>317</v>
      </c>
      <c r="C230" s="28"/>
      <c r="D230" s="28"/>
      <c r="E230" s="28"/>
      <c r="F230" s="28">
        <f t="shared" si="36"/>
        <v>0</v>
      </c>
      <c r="G230" s="28"/>
      <c r="H230" s="28"/>
      <c r="I230" s="28"/>
      <c r="J230" s="28"/>
      <c r="K230" s="28"/>
      <c r="L230" s="28"/>
      <c r="M230" s="28">
        <f t="shared" si="26"/>
        <v>0</v>
      </c>
    </row>
    <row r="231" spans="1:13" ht="99.75" customHeight="1" hidden="1">
      <c r="A231" s="4" t="s">
        <v>31</v>
      </c>
      <c r="B231" s="10" t="s">
        <v>316</v>
      </c>
      <c r="C231" s="28"/>
      <c r="D231" s="28"/>
      <c r="E231" s="28"/>
      <c r="F231" s="28">
        <f>G231+J231</f>
        <v>0</v>
      </c>
      <c r="G231" s="28"/>
      <c r="H231" s="28"/>
      <c r="I231" s="28"/>
      <c r="J231" s="28"/>
      <c r="K231" s="28"/>
      <c r="L231" s="28"/>
      <c r="M231" s="28">
        <f>C231+F231</f>
        <v>0</v>
      </c>
    </row>
    <row r="232" spans="1:13" ht="107.25" customHeight="1">
      <c r="A232" s="4" t="s">
        <v>31</v>
      </c>
      <c r="B232" s="10" t="s">
        <v>318</v>
      </c>
      <c r="C232" s="28"/>
      <c r="D232" s="28"/>
      <c r="E232" s="28"/>
      <c r="F232" s="28">
        <f t="shared" si="36"/>
        <v>1</v>
      </c>
      <c r="G232" s="78">
        <v>1</v>
      </c>
      <c r="H232" s="28"/>
      <c r="I232" s="28"/>
      <c r="J232" s="28"/>
      <c r="K232" s="28"/>
      <c r="L232" s="28"/>
      <c r="M232" s="28">
        <f t="shared" si="26"/>
        <v>1</v>
      </c>
    </row>
    <row r="233" spans="1:14" s="29" customFormat="1" ht="63.75" customHeight="1">
      <c r="A233" s="30" t="s">
        <v>136</v>
      </c>
      <c r="B233" s="33" t="s">
        <v>204</v>
      </c>
      <c r="C233" s="36">
        <f>SUM(C234:C241)</f>
        <v>1151.24481</v>
      </c>
      <c r="D233" s="36">
        <f>SUM(D234:D241)</f>
        <v>721.615</v>
      </c>
      <c r="E233" s="36">
        <f>SUM(E234:E241)</f>
        <v>18.5</v>
      </c>
      <c r="F233" s="36">
        <f t="shared" si="36"/>
        <v>71.78884</v>
      </c>
      <c r="G233" s="36">
        <f aca="true" t="shared" si="37" ref="G233:L233">SUM(G234:G241)</f>
        <v>0</v>
      </c>
      <c r="H233" s="36">
        <f t="shared" si="37"/>
        <v>0</v>
      </c>
      <c r="I233" s="36">
        <f t="shared" si="37"/>
        <v>0</v>
      </c>
      <c r="J233" s="36">
        <f>SUM(J234:J241)</f>
        <v>71.78884</v>
      </c>
      <c r="K233" s="36">
        <f t="shared" si="37"/>
        <v>71.78884</v>
      </c>
      <c r="L233" s="36">
        <f t="shared" si="37"/>
        <v>0</v>
      </c>
      <c r="M233" s="36">
        <f t="shared" si="26"/>
        <v>1223.0336499999999</v>
      </c>
      <c r="N233" s="50" t="e">
        <f>M233-#REF!</f>
        <v>#REF!</v>
      </c>
    </row>
    <row r="234" spans="1:13" ht="75" customHeight="1">
      <c r="A234" s="4" t="s">
        <v>222</v>
      </c>
      <c r="B234" s="8" t="s">
        <v>138</v>
      </c>
      <c r="C234" s="38">
        <f>773.9+32.28425+9</f>
        <v>815.18425</v>
      </c>
      <c r="D234" s="38">
        <v>547</v>
      </c>
      <c r="E234" s="38">
        <v>12.3</v>
      </c>
      <c r="F234" s="28">
        <f t="shared" si="36"/>
        <v>12.49184</v>
      </c>
      <c r="G234" s="38"/>
      <c r="H234" s="38"/>
      <c r="I234" s="38"/>
      <c r="J234" s="38">
        <v>12.49184</v>
      </c>
      <c r="K234" s="38">
        <v>12.49184</v>
      </c>
      <c r="L234" s="38"/>
      <c r="M234" s="58">
        <f aca="true" t="shared" si="38" ref="M234:M253">C234+F234</f>
        <v>827.67609</v>
      </c>
    </row>
    <row r="235" spans="1:14" ht="84.75" customHeight="1">
      <c r="A235" s="4" t="s">
        <v>126</v>
      </c>
      <c r="B235" s="7" t="s">
        <v>314</v>
      </c>
      <c r="C235" s="28">
        <f>5+0.63</f>
        <v>5.63</v>
      </c>
      <c r="D235" s="28"/>
      <c r="E235" s="28"/>
      <c r="F235" s="28">
        <f t="shared" si="36"/>
        <v>0</v>
      </c>
      <c r="G235" s="38"/>
      <c r="H235" s="38"/>
      <c r="I235" s="38"/>
      <c r="J235" s="38">
        <v>0</v>
      </c>
      <c r="K235" s="38">
        <v>0</v>
      </c>
      <c r="L235" s="38"/>
      <c r="M235" s="58">
        <f t="shared" si="38"/>
        <v>5.63</v>
      </c>
      <c r="N235" s="51">
        <f>M235+M240</f>
        <v>35.63</v>
      </c>
    </row>
    <row r="236" spans="1:13" ht="67.5" customHeight="1" hidden="1">
      <c r="A236" s="4" t="s">
        <v>306</v>
      </c>
      <c r="B236" s="7" t="s">
        <v>45</v>
      </c>
      <c r="C236" s="28">
        <v>0</v>
      </c>
      <c r="D236" s="28"/>
      <c r="E236" s="28"/>
      <c r="F236" s="28">
        <f t="shared" si="36"/>
        <v>0</v>
      </c>
      <c r="G236" s="78"/>
      <c r="H236" s="28"/>
      <c r="I236" s="28"/>
      <c r="J236" s="28"/>
      <c r="K236" s="28"/>
      <c r="L236" s="28"/>
      <c r="M236" s="28">
        <f t="shared" si="38"/>
        <v>0</v>
      </c>
    </row>
    <row r="237" spans="1:13" ht="54" customHeight="1">
      <c r="A237" s="4" t="s">
        <v>239</v>
      </c>
      <c r="B237" s="8" t="s">
        <v>276</v>
      </c>
      <c r="C237" s="28">
        <f>249.4+5.72019+3.1</f>
        <v>258.22019</v>
      </c>
      <c r="D237" s="28">
        <v>174.615</v>
      </c>
      <c r="E237" s="28">
        <v>6.2</v>
      </c>
      <c r="F237" s="28">
        <f t="shared" si="36"/>
        <v>21.3</v>
      </c>
      <c r="G237" s="28"/>
      <c r="H237" s="28"/>
      <c r="I237" s="28"/>
      <c r="J237" s="28">
        <f>18.5+2.8</f>
        <v>21.3</v>
      </c>
      <c r="K237" s="28">
        <f>18.5+2.8</f>
        <v>21.3</v>
      </c>
      <c r="L237" s="28"/>
      <c r="M237" s="58">
        <f t="shared" si="38"/>
        <v>279.52019</v>
      </c>
    </row>
    <row r="238" spans="1:13" ht="90.75" customHeight="1">
      <c r="A238" s="4" t="s">
        <v>278</v>
      </c>
      <c r="B238" s="8" t="s">
        <v>197</v>
      </c>
      <c r="C238" s="28">
        <f>20+13.31037-1.1</f>
        <v>32.21037</v>
      </c>
      <c r="D238" s="28"/>
      <c r="E238" s="28"/>
      <c r="F238" s="28">
        <f t="shared" si="36"/>
        <v>7.997</v>
      </c>
      <c r="G238" s="28"/>
      <c r="H238" s="28"/>
      <c r="I238" s="28"/>
      <c r="J238" s="28">
        <f>18.5-10.503</f>
        <v>7.997</v>
      </c>
      <c r="K238" s="28">
        <f>18.5-10.503</f>
        <v>7.997</v>
      </c>
      <c r="L238" s="28"/>
      <c r="M238" s="58">
        <f t="shared" si="38"/>
        <v>40.20737</v>
      </c>
    </row>
    <row r="239" spans="1:13" ht="51.75" customHeight="1">
      <c r="A239" s="4" t="s">
        <v>223</v>
      </c>
      <c r="B239" s="5" t="s">
        <v>76</v>
      </c>
      <c r="C239" s="28">
        <v>40</v>
      </c>
      <c r="D239" s="28"/>
      <c r="E239" s="28"/>
      <c r="F239" s="28">
        <f t="shared" si="36"/>
        <v>0</v>
      </c>
      <c r="G239" s="28"/>
      <c r="H239" s="28"/>
      <c r="I239" s="28"/>
      <c r="J239" s="28"/>
      <c r="K239" s="28"/>
      <c r="L239" s="28"/>
      <c r="M239" s="96">
        <f t="shared" si="38"/>
        <v>40</v>
      </c>
    </row>
    <row r="240" spans="1:13" s="59" customFormat="1" ht="114.75" customHeight="1">
      <c r="A240" s="4" t="s">
        <v>17</v>
      </c>
      <c r="B240" s="7" t="s">
        <v>356</v>
      </c>
      <c r="C240" s="28"/>
      <c r="D240" s="28"/>
      <c r="E240" s="28"/>
      <c r="F240" s="28">
        <f t="shared" si="36"/>
        <v>30</v>
      </c>
      <c r="G240" s="28"/>
      <c r="H240" s="28"/>
      <c r="I240" s="28"/>
      <c r="J240" s="28">
        <v>30</v>
      </c>
      <c r="K240" s="28">
        <v>30</v>
      </c>
      <c r="L240" s="28"/>
      <c r="M240" s="96">
        <f t="shared" si="38"/>
        <v>30</v>
      </c>
    </row>
    <row r="241" spans="1:13" s="59" customFormat="1" ht="157.5" customHeight="1" hidden="1">
      <c r="A241" s="4" t="s">
        <v>153</v>
      </c>
      <c r="B241" s="7" t="s">
        <v>95</v>
      </c>
      <c r="C241" s="28"/>
      <c r="D241" s="28"/>
      <c r="E241" s="28"/>
      <c r="F241" s="28">
        <f t="shared" si="36"/>
        <v>0</v>
      </c>
      <c r="G241" s="28"/>
      <c r="H241" s="28"/>
      <c r="I241" s="28"/>
      <c r="J241" s="28"/>
      <c r="K241" s="28"/>
      <c r="L241" s="28"/>
      <c r="M241" s="96">
        <f t="shared" si="38"/>
        <v>0</v>
      </c>
    </row>
    <row r="242" spans="1:14" ht="48.75" customHeight="1">
      <c r="A242" s="30" t="s">
        <v>137</v>
      </c>
      <c r="B242" s="33" t="s">
        <v>104</v>
      </c>
      <c r="C242" s="36">
        <f>SUM(C243:C248)</f>
        <v>387.29705</v>
      </c>
      <c r="D242" s="36">
        <f>SUM(D243:D248)</f>
        <v>266.177</v>
      </c>
      <c r="E242" s="36">
        <f>SUM(E243:E248)</f>
        <v>7</v>
      </c>
      <c r="F242" s="36">
        <f t="shared" si="36"/>
        <v>9.585</v>
      </c>
      <c r="G242" s="36">
        <f>G243</f>
        <v>9.585</v>
      </c>
      <c r="H242" s="36">
        <f>SUM(H243:H245)</f>
        <v>0</v>
      </c>
      <c r="I242" s="36">
        <f>SUM(I243:I245)</f>
        <v>0</v>
      </c>
      <c r="J242" s="36">
        <f>SUM(J243:J245)</f>
        <v>0</v>
      </c>
      <c r="K242" s="36">
        <f>SUM(K243:K245)</f>
        <v>0</v>
      </c>
      <c r="L242" s="36">
        <f>SUM(L243:L245)</f>
        <v>0</v>
      </c>
      <c r="M242" s="36">
        <f t="shared" si="38"/>
        <v>396.88205</v>
      </c>
      <c r="N242" s="51" t="e">
        <f>M242-#REF!</f>
        <v>#REF!</v>
      </c>
    </row>
    <row r="243" spans="1:13" ht="43.5" customHeight="1">
      <c r="A243" s="4" t="s">
        <v>222</v>
      </c>
      <c r="B243" s="8" t="s">
        <v>139</v>
      </c>
      <c r="C243" s="28">
        <f>374.2+3.09705+10</f>
        <v>387.29705</v>
      </c>
      <c r="D243" s="28">
        <v>266.177</v>
      </c>
      <c r="E243" s="28">
        <f>6.1+0.9</f>
        <v>7</v>
      </c>
      <c r="F243" s="28">
        <f t="shared" si="36"/>
        <v>9.585</v>
      </c>
      <c r="G243" s="78">
        <v>9.585</v>
      </c>
      <c r="H243" s="28"/>
      <c r="I243" s="28"/>
      <c r="J243" s="28"/>
      <c r="K243" s="28"/>
      <c r="L243" s="28"/>
      <c r="M243" s="28">
        <f t="shared" si="38"/>
        <v>396.88205</v>
      </c>
    </row>
    <row r="244" spans="1:13" ht="81.75" customHeight="1" hidden="1">
      <c r="A244" s="4" t="s">
        <v>331</v>
      </c>
      <c r="B244" s="8" t="s">
        <v>322</v>
      </c>
      <c r="C244" s="28"/>
      <c r="D244" s="28"/>
      <c r="E244" s="28"/>
      <c r="F244" s="28">
        <f t="shared" si="36"/>
        <v>0</v>
      </c>
      <c r="G244" s="40"/>
      <c r="H244" s="28"/>
      <c r="I244" s="28"/>
      <c r="J244" s="28"/>
      <c r="K244" s="28"/>
      <c r="L244" s="28"/>
      <c r="M244" s="28">
        <f t="shared" si="38"/>
        <v>0</v>
      </c>
    </row>
    <row r="245" spans="1:13" ht="104.25" customHeight="1" hidden="1">
      <c r="A245" s="4" t="s">
        <v>331</v>
      </c>
      <c r="B245" s="8" t="s">
        <v>332</v>
      </c>
      <c r="C245" s="28"/>
      <c r="D245" s="28"/>
      <c r="E245" s="28"/>
      <c r="F245" s="28">
        <f t="shared" si="36"/>
        <v>0</v>
      </c>
      <c r="G245" s="78"/>
      <c r="H245" s="28"/>
      <c r="I245" s="28"/>
      <c r="J245" s="28"/>
      <c r="K245" s="28"/>
      <c r="L245" s="28"/>
      <c r="M245" s="28">
        <f t="shared" si="38"/>
        <v>0</v>
      </c>
    </row>
    <row r="246" spans="1:13" ht="64.5" customHeight="1" hidden="1">
      <c r="A246" s="4" t="s">
        <v>306</v>
      </c>
      <c r="B246" s="8" t="s">
        <v>6</v>
      </c>
      <c r="C246" s="45"/>
      <c r="D246" s="28"/>
      <c r="E246" s="28"/>
      <c r="F246" s="28">
        <f t="shared" si="36"/>
        <v>0</v>
      </c>
      <c r="G246" s="78"/>
      <c r="H246" s="28"/>
      <c r="I246" s="28"/>
      <c r="J246" s="28"/>
      <c r="K246" s="28"/>
      <c r="L246" s="28"/>
      <c r="M246" s="28">
        <f t="shared" si="38"/>
        <v>0</v>
      </c>
    </row>
    <row r="247" spans="1:13" ht="105.75" customHeight="1" hidden="1">
      <c r="A247" s="4" t="s">
        <v>306</v>
      </c>
      <c r="B247" s="7" t="s">
        <v>44</v>
      </c>
      <c r="C247" s="28"/>
      <c r="D247" s="28"/>
      <c r="E247" s="28"/>
      <c r="F247" s="28">
        <f t="shared" si="36"/>
        <v>0</v>
      </c>
      <c r="G247" s="40"/>
      <c r="H247" s="28"/>
      <c r="I247" s="28"/>
      <c r="J247" s="28"/>
      <c r="K247" s="28"/>
      <c r="L247" s="28"/>
      <c r="M247" s="28">
        <f t="shared" si="38"/>
        <v>0</v>
      </c>
    </row>
    <row r="248" spans="1:13" ht="105.75" customHeight="1" hidden="1">
      <c r="A248" s="4" t="s">
        <v>64</v>
      </c>
      <c r="B248" s="5" t="s">
        <v>323</v>
      </c>
      <c r="C248" s="28"/>
      <c r="D248" s="28"/>
      <c r="E248" s="28"/>
      <c r="F248" s="28">
        <f t="shared" si="36"/>
        <v>0</v>
      </c>
      <c r="G248" s="40"/>
      <c r="H248" s="28"/>
      <c r="I248" s="28"/>
      <c r="J248" s="28"/>
      <c r="K248" s="28"/>
      <c r="L248" s="28"/>
      <c r="M248" s="28">
        <f t="shared" si="38"/>
        <v>0</v>
      </c>
    </row>
    <row r="249" spans="1:14" ht="35.25" customHeight="1">
      <c r="A249" s="30" t="s">
        <v>146</v>
      </c>
      <c r="B249" s="33" t="s">
        <v>147</v>
      </c>
      <c r="C249" s="36">
        <f>SUM(C250:C253)</f>
        <v>681.586</v>
      </c>
      <c r="D249" s="36">
        <f>SUM(D250:D253)</f>
        <v>432.208</v>
      </c>
      <c r="E249" s="36">
        <f>SUM(E250:E253)</f>
        <v>8.9</v>
      </c>
      <c r="F249" s="36">
        <f>G249+J249</f>
        <v>223.49259</v>
      </c>
      <c r="G249" s="36">
        <f aca="true" t="shared" si="39" ref="G249:L249">SUM(G250:G253)</f>
        <v>0</v>
      </c>
      <c r="H249" s="36">
        <f t="shared" si="39"/>
        <v>0</v>
      </c>
      <c r="I249" s="36">
        <f t="shared" si="39"/>
        <v>0</v>
      </c>
      <c r="J249" s="36">
        <f t="shared" si="39"/>
        <v>223.49259</v>
      </c>
      <c r="K249" s="36">
        <f t="shared" si="39"/>
        <v>223.49259</v>
      </c>
      <c r="L249" s="36">
        <f t="shared" si="39"/>
        <v>0</v>
      </c>
      <c r="M249" s="36">
        <f t="shared" si="38"/>
        <v>905.0785900000001</v>
      </c>
      <c r="N249" s="51" t="e">
        <f>M249-#REF!</f>
        <v>#REF!</v>
      </c>
    </row>
    <row r="250" spans="1:14" ht="51" customHeight="1" hidden="1">
      <c r="A250" s="4" t="s">
        <v>148</v>
      </c>
      <c r="B250" s="25" t="s">
        <v>38</v>
      </c>
      <c r="C250" s="28"/>
      <c r="D250" s="28"/>
      <c r="E250" s="28"/>
      <c r="F250" s="57">
        <f>G250+J250</f>
        <v>0</v>
      </c>
      <c r="G250" s="44"/>
      <c r="H250" s="44"/>
      <c r="I250" s="44"/>
      <c r="J250" s="28"/>
      <c r="K250" s="28"/>
      <c r="L250" s="28"/>
      <c r="M250" s="28">
        <f t="shared" si="38"/>
        <v>0</v>
      </c>
      <c r="N250" s="51"/>
    </row>
    <row r="251" spans="1:14" ht="65.25" customHeight="1">
      <c r="A251" s="4" t="s">
        <v>148</v>
      </c>
      <c r="B251" s="25" t="s">
        <v>198</v>
      </c>
      <c r="C251" s="28">
        <f>616.3+16.288</f>
        <v>632.588</v>
      </c>
      <c r="D251" s="28">
        <v>432.208</v>
      </c>
      <c r="E251" s="28">
        <v>8.9</v>
      </c>
      <c r="F251" s="57">
        <f>G251+J251</f>
        <v>223.49259</v>
      </c>
      <c r="G251" s="44"/>
      <c r="H251" s="44"/>
      <c r="I251" s="44"/>
      <c r="J251" s="28">
        <v>223.49259</v>
      </c>
      <c r="K251" s="28">
        <v>223.49259</v>
      </c>
      <c r="L251" s="28"/>
      <c r="M251" s="28">
        <f>C251+F251</f>
        <v>856.08059</v>
      </c>
      <c r="N251" s="51"/>
    </row>
    <row r="252" spans="1:14" ht="99.75" customHeight="1">
      <c r="A252" s="4" t="s">
        <v>17</v>
      </c>
      <c r="B252" s="25" t="s">
        <v>3</v>
      </c>
      <c r="C252" s="28">
        <f>22+25</f>
        <v>47</v>
      </c>
      <c r="D252" s="28"/>
      <c r="E252" s="28"/>
      <c r="F252" s="57">
        <f>G252+J252</f>
        <v>0</v>
      </c>
      <c r="G252" s="28"/>
      <c r="H252" s="28"/>
      <c r="I252" s="28"/>
      <c r="J252" s="28"/>
      <c r="K252" s="28"/>
      <c r="L252" s="28"/>
      <c r="M252" s="58">
        <f t="shared" si="38"/>
        <v>47</v>
      </c>
      <c r="N252" s="51"/>
    </row>
    <row r="253" spans="1:13" ht="71.25" customHeight="1">
      <c r="A253" s="4" t="s">
        <v>306</v>
      </c>
      <c r="B253" s="8" t="s">
        <v>85</v>
      </c>
      <c r="C253" s="46">
        <f>22+1.998-22</f>
        <v>1.998000000000001</v>
      </c>
      <c r="D253" s="28"/>
      <c r="E253" s="28"/>
      <c r="F253" s="28">
        <f>G253+J253</f>
        <v>0</v>
      </c>
      <c r="G253" s="78"/>
      <c r="H253" s="28"/>
      <c r="I253" s="28"/>
      <c r="J253" s="28"/>
      <c r="K253" s="28"/>
      <c r="L253" s="28"/>
      <c r="M253" s="28">
        <f t="shared" si="38"/>
        <v>1.998000000000001</v>
      </c>
    </row>
    <row r="254" spans="1:14" ht="33" customHeight="1">
      <c r="A254" s="30"/>
      <c r="B254" s="31" t="s">
        <v>241</v>
      </c>
      <c r="C254" s="36">
        <f aca="true" t="shared" si="40" ref="C254:M254">C12+C29+C51+C148+C194+C202+C233+C242+C249</f>
        <v>181026.12318000002</v>
      </c>
      <c r="D254" s="36">
        <f t="shared" si="40"/>
        <v>46159.597</v>
      </c>
      <c r="E254" s="36">
        <f t="shared" si="40"/>
        <v>4442.869</v>
      </c>
      <c r="F254" s="36">
        <f t="shared" si="40"/>
        <v>30576.669510000003</v>
      </c>
      <c r="G254" s="36">
        <f t="shared" si="40"/>
        <v>20585.778690000003</v>
      </c>
      <c r="H254" s="36">
        <f t="shared" si="40"/>
        <v>407.162</v>
      </c>
      <c r="I254" s="36">
        <f t="shared" si="40"/>
        <v>52.209</v>
      </c>
      <c r="J254" s="36">
        <f t="shared" si="40"/>
        <v>9990.890819999999</v>
      </c>
      <c r="K254" s="36">
        <f t="shared" si="40"/>
        <v>7039.264319999999</v>
      </c>
      <c r="L254" s="36">
        <f t="shared" si="40"/>
        <v>0</v>
      </c>
      <c r="M254" s="36">
        <f t="shared" si="40"/>
        <v>211602.79268999997</v>
      </c>
      <c r="N254" s="51">
        <f>C254+F254</f>
        <v>211602.79269000003</v>
      </c>
    </row>
    <row r="256" spans="1:15" ht="39" customHeight="1">
      <c r="A256" s="4"/>
      <c r="B256" s="8" t="s">
        <v>97</v>
      </c>
      <c r="C256" s="28">
        <f>C52</f>
        <v>37377.8</v>
      </c>
      <c r="D256" s="28">
        <f>D52</f>
        <v>0</v>
      </c>
      <c r="E256" s="28">
        <f>E52</f>
        <v>0</v>
      </c>
      <c r="F256" s="28">
        <f>G256+J256</f>
        <v>19621.829190000004</v>
      </c>
      <c r="G256" s="28">
        <f>G52+G30+G149+G201+G197+G203</f>
        <v>16845.632690000002</v>
      </c>
      <c r="H256" s="28">
        <f>H52+H30+H149</f>
        <v>0</v>
      </c>
      <c r="I256" s="28">
        <f>I52+I30+I149</f>
        <v>0</v>
      </c>
      <c r="J256" s="28">
        <f>J52+J30+J149+J201</f>
        <v>2776.1965</v>
      </c>
      <c r="K256" s="28">
        <f>K52+K30+K149+K201</f>
        <v>0</v>
      </c>
      <c r="L256" s="28">
        <f>L52+L30+L149+L201</f>
        <v>0</v>
      </c>
      <c r="M256" s="28">
        <f>C256+F256</f>
        <v>56999.62919000001</v>
      </c>
      <c r="N256" s="51" t="e">
        <f>M256-#REF!</f>
        <v>#REF!</v>
      </c>
      <c r="O256" s="51" t="e">
        <f>N256-340.5</f>
        <v>#REF!</v>
      </c>
    </row>
    <row r="257" spans="3:13" ht="18.75">
      <c r="C257" s="35"/>
      <c r="D257" s="35"/>
      <c r="E257" s="35"/>
      <c r="F257" s="35"/>
      <c r="G257" s="65"/>
      <c r="H257" s="35"/>
      <c r="I257" s="35"/>
      <c r="J257" s="35"/>
      <c r="K257" s="35"/>
      <c r="L257" s="35"/>
      <c r="M257" s="35"/>
    </row>
    <row r="258" spans="1:13" s="32" customFormat="1" ht="12.75" customHeight="1" hidden="1">
      <c r="A258" s="66"/>
      <c r="B258" s="66"/>
      <c r="C258" s="67"/>
      <c r="D258" s="68"/>
      <c r="E258" s="68"/>
      <c r="F258" s="68"/>
      <c r="G258" s="68"/>
      <c r="H258" s="68"/>
      <c r="I258" s="68"/>
      <c r="J258" s="68"/>
      <c r="K258" s="68"/>
      <c r="L258" s="68"/>
      <c r="M258" s="69"/>
    </row>
    <row r="259" spans="1:13" s="32" customFormat="1" ht="13.5" customHeight="1">
      <c r="A259" s="19"/>
      <c r="B259" s="19"/>
      <c r="C259" s="47"/>
      <c r="D259" s="47"/>
      <c r="E259" s="47"/>
      <c r="F259" s="47"/>
      <c r="G259" s="70"/>
      <c r="H259" s="47"/>
      <c r="I259" s="47"/>
      <c r="J259" s="47"/>
      <c r="K259" s="47"/>
      <c r="L259" s="47"/>
      <c r="M259" s="47"/>
    </row>
    <row r="260" spans="1:13" s="21" customFormat="1" ht="25.5" customHeight="1">
      <c r="A260" s="22" t="s">
        <v>342</v>
      </c>
      <c r="B260" s="23"/>
      <c r="C260" s="48"/>
      <c r="D260" s="48"/>
      <c r="E260" s="48"/>
      <c r="F260" s="48"/>
      <c r="G260" s="65"/>
      <c r="H260" s="48"/>
      <c r="I260" s="48"/>
      <c r="J260" s="48"/>
      <c r="K260" s="48"/>
      <c r="L260" s="126" t="s">
        <v>330</v>
      </c>
      <c r="M260" s="126"/>
    </row>
    <row r="261" spans="1:14" s="74" customFormat="1" ht="20.25">
      <c r="A261" s="71"/>
      <c r="B261" s="72"/>
      <c r="C261" s="43"/>
      <c r="D261" s="43"/>
      <c r="E261" s="53"/>
      <c r="F261" s="43"/>
      <c r="G261" s="46"/>
      <c r="H261" s="53"/>
      <c r="I261" s="53"/>
      <c r="J261" s="53"/>
      <c r="K261" s="43"/>
      <c r="L261" s="73"/>
      <c r="M261" s="46"/>
      <c r="N261" s="93">
        <f>J254+G254</f>
        <v>30576.66951</v>
      </c>
    </row>
    <row r="262" spans="3:13" ht="20.25">
      <c r="C262" s="110">
        <v>186086.322</v>
      </c>
      <c r="D262" s="111">
        <v>46159.573</v>
      </c>
      <c r="E262" s="111">
        <v>4202.969</v>
      </c>
      <c r="F262" s="110">
        <v>10612.476</v>
      </c>
      <c r="G262" s="111">
        <v>4258.946</v>
      </c>
      <c r="H262" s="111">
        <v>407.162</v>
      </c>
      <c r="I262" s="111">
        <v>52.209</v>
      </c>
      <c r="J262" s="111">
        <v>6353.53</v>
      </c>
      <c r="K262" s="111">
        <v>5031</v>
      </c>
      <c r="L262" s="111"/>
      <c r="M262" s="111">
        <v>196698.798</v>
      </c>
    </row>
    <row r="263" spans="1:13" s="18" customFormat="1" ht="18.75">
      <c r="A263" s="1"/>
      <c r="B263" s="2"/>
      <c r="C263" s="55">
        <f>C254-C262</f>
        <v>-5060.198819999961</v>
      </c>
      <c r="D263" s="55">
        <f aca="true" t="shared" si="41" ref="D263:M263">D254-D262</f>
        <v>0.024000000004889444</v>
      </c>
      <c r="E263" s="55">
        <f t="shared" si="41"/>
        <v>239.89999999999964</v>
      </c>
      <c r="F263" s="55">
        <f t="shared" si="41"/>
        <v>19964.193510000005</v>
      </c>
      <c r="G263" s="55">
        <f t="shared" si="41"/>
        <v>16326.832690000003</v>
      </c>
      <c r="H263" s="55">
        <f t="shared" si="41"/>
        <v>0</v>
      </c>
      <c r="I263" s="55">
        <f t="shared" si="41"/>
        <v>0</v>
      </c>
      <c r="J263" s="55">
        <f t="shared" si="41"/>
        <v>3637.360819999999</v>
      </c>
      <c r="K263" s="55">
        <f t="shared" si="41"/>
        <v>2008.2643199999993</v>
      </c>
      <c r="L263" s="55">
        <f t="shared" si="41"/>
        <v>0</v>
      </c>
      <c r="M263" s="55">
        <f t="shared" si="41"/>
        <v>14903.994689999963</v>
      </c>
    </row>
    <row r="264" spans="1:13" s="18" customFormat="1" ht="18.75">
      <c r="A264" s="16"/>
      <c r="B264" s="14"/>
      <c r="C264" s="35"/>
      <c r="D264" s="35"/>
      <c r="E264" s="35"/>
      <c r="F264" s="35">
        <f>F263-3620.75536</f>
        <v>16343.438150000005</v>
      </c>
      <c r="G264" s="35"/>
      <c r="H264" s="35"/>
      <c r="I264" s="35"/>
      <c r="J264" s="35"/>
      <c r="K264" s="35"/>
      <c r="L264" s="35"/>
      <c r="M264" s="35"/>
    </row>
    <row r="265" spans="1:13" s="18" customFormat="1" ht="18.75">
      <c r="A265" s="3"/>
      <c r="B265" s="2"/>
      <c r="C265" s="46"/>
      <c r="D265" s="46"/>
      <c r="E265" s="46"/>
      <c r="F265" s="46"/>
      <c r="G265" s="46"/>
      <c r="H265" s="46"/>
      <c r="I265" s="46"/>
      <c r="J265" s="46"/>
      <c r="K265" s="46"/>
      <c r="L265" s="46"/>
      <c r="M265" s="46"/>
    </row>
    <row r="266" spans="1:13" ht="18.75">
      <c r="A266" s="3"/>
      <c r="B266" s="15"/>
      <c r="C266" s="28">
        <v>40191.8</v>
      </c>
      <c r="D266" s="28">
        <f>D61</f>
        <v>0</v>
      </c>
      <c r="E266" s="28">
        <f>E61</f>
        <v>0</v>
      </c>
      <c r="F266" s="28">
        <v>1686.9</v>
      </c>
      <c r="G266" s="28">
        <v>539.8</v>
      </c>
      <c r="H266" s="28"/>
      <c r="I266" s="28"/>
      <c r="J266" s="28">
        <v>1147.1</v>
      </c>
      <c r="K266" s="28">
        <v>0</v>
      </c>
      <c r="L266" s="28">
        <f>L61+L37+L159+L211</f>
        <v>0</v>
      </c>
      <c r="M266" s="28">
        <f>C266+F266</f>
        <v>41878.700000000004</v>
      </c>
    </row>
    <row r="267" spans="1:13" ht="18.75">
      <c r="A267" s="3"/>
      <c r="B267" s="15"/>
      <c r="C267" s="17">
        <f>C256-C266</f>
        <v>-2814</v>
      </c>
      <c r="D267" s="17">
        <f aca="true" t="shared" si="42" ref="D267:M267">D256-D266</f>
        <v>0</v>
      </c>
      <c r="E267" s="17">
        <f t="shared" si="42"/>
        <v>0</v>
      </c>
      <c r="F267" s="17">
        <f t="shared" si="42"/>
        <v>17934.929190000003</v>
      </c>
      <c r="G267" s="90">
        <f t="shared" si="42"/>
        <v>16305.832690000003</v>
      </c>
      <c r="H267" s="17">
        <f t="shared" si="42"/>
        <v>0</v>
      </c>
      <c r="I267" s="17">
        <f t="shared" si="42"/>
        <v>0</v>
      </c>
      <c r="J267" s="17">
        <f t="shared" si="42"/>
        <v>1629.0965</v>
      </c>
      <c r="K267" s="17">
        <f t="shared" si="42"/>
        <v>0</v>
      </c>
      <c r="L267" s="17">
        <f t="shared" si="42"/>
        <v>0</v>
      </c>
      <c r="M267" s="17">
        <f t="shared" si="42"/>
        <v>15120.929190000003</v>
      </c>
    </row>
    <row r="268" spans="3:13" ht="18.75">
      <c r="C268" s="35"/>
      <c r="D268" s="35"/>
      <c r="E268" s="35"/>
      <c r="F268" s="35"/>
      <c r="G268" s="35"/>
      <c r="H268" s="35"/>
      <c r="I268" s="35"/>
      <c r="J268" s="35"/>
      <c r="K268" s="35"/>
      <c r="L268" s="35"/>
      <c r="M268" s="35"/>
    </row>
    <row r="269" spans="3:12" ht="18.75">
      <c r="C269" s="17"/>
      <c r="D269" s="17"/>
      <c r="E269" s="17"/>
      <c r="F269" s="17"/>
      <c r="G269" s="76"/>
      <c r="H269" s="17"/>
      <c r="I269" s="17"/>
      <c r="J269" s="17"/>
      <c r="K269" s="17"/>
      <c r="L269" s="17"/>
    </row>
    <row r="271" spans="3:12" ht="18.75">
      <c r="C271" s="17"/>
      <c r="D271" s="17"/>
      <c r="E271" s="17"/>
      <c r="F271" s="17"/>
      <c r="G271" s="77"/>
      <c r="H271" s="17"/>
      <c r="I271" s="17"/>
      <c r="J271" s="17"/>
      <c r="K271" s="17"/>
      <c r="L271" s="17"/>
    </row>
    <row r="272" spans="3:13" ht="18.75">
      <c r="C272" s="90"/>
      <c r="D272" s="90"/>
      <c r="E272" s="90"/>
      <c r="F272" s="90"/>
      <c r="G272" s="90"/>
      <c r="H272" s="90"/>
      <c r="I272" s="90"/>
      <c r="J272" s="90"/>
      <c r="K272" s="90"/>
      <c r="L272" s="90"/>
      <c r="M272" s="90"/>
    </row>
    <row r="273" ht="18.75">
      <c r="C273" s="15"/>
    </row>
    <row r="274" spans="3:11" ht="18.75">
      <c r="C274" s="15"/>
      <c r="G274" s="56">
        <v>148.6188</v>
      </c>
      <c r="J274" s="2">
        <v>1080.36054</v>
      </c>
      <c r="K274" s="35"/>
    </row>
    <row r="275" spans="7:10" ht="18.75">
      <c r="G275" s="56">
        <v>3.84849</v>
      </c>
      <c r="J275" s="2">
        <v>313.33596</v>
      </c>
    </row>
    <row r="276" ht="18.75">
      <c r="G276" s="56">
        <v>45.265</v>
      </c>
    </row>
    <row r="277" spans="7:11" ht="18.75">
      <c r="G277" s="77">
        <f>SUM(G274:G276)</f>
        <v>197.73228999999998</v>
      </c>
      <c r="H277" s="77">
        <f>SUM(H274:H276)</f>
        <v>0</v>
      </c>
      <c r="I277" s="77">
        <f>SUM(I274:I276)</f>
        <v>0</v>
      </c>
      <c r="J277" s="77">
        <f>SUM(J274:J276)</f>
        <v>1393.6965</v>
      </c>
      <c r="K277" s="77">
        <f>SUM(K274:K276)</f>
        <v>0</v>
      </c>
    </row>
    <row r="278" spans="7:10" ht="18.75">
      <c r="G278" s="77">
        <f>G267-G277</f>
        <v>16108.100400000003</v>
      </c>
      <c r="H278" s="77">
        <f>H267-H277</f>
        <v>0</v>
      </c>
      <c r="I278" s="77">
        <f>I267-I277</f>
        <v>0</v>
      </c>
      <c r="J278" s="77">
        <f>J267-J277</f>
        <v>235.4000000000001</v>
      </c>
    </row>
  </sheetData>
  <sheetProtection/>
  <mergeCells count="33">
    <mergeCell ref="F60:F61"/>
    <mergeCell ref="G60:G61"/>
    <mergeCell ref="H60:H61"/>
    <mergeCell ref="A60:A61"/>
    <mergeCell ref="C60:C61"/>
    <mergeCell ref="D60:D61"/>
    <mergeCell ref="E60:E61"/>
    <mergeCell ref="K60:K61"/>
    <mergeCell ref="M60:M61"/>
    <mergeCell ref="L260:M260"/>
    <mergeCell ref="M7:M10"/>
    <mergeCell ref="K8:L8"/>
    <mergeCell ref="K9:K10"/>
    <mergeCell ref="C8:C10"/>
    <mergeCell ref="J60:J61"/>
    <mergeCell ref="D8:E8"/>
    <mergeCell ref="F8:F10"/>
    <mergeCell ref="G8:G10"/>
    <mergeCell ref="H8:I8"/>
    <mergeCell ref="J8:J10"/>
    <mergeCell ref="D9:D10"/>
    <mergeCell ref="I60:I61"/>
    <mergeCell ref="I9:I10"/>
    <mergeCell ref="E9:E10"/>
    <mergeCell ref="H9:H10"/>
    <mergeCell ref="J1:L1"/>
    <mergeCell ref="A4:M4"/>
    <mergeCell ref="A5:M5"/>
    <mergeCell ref="K6:M6"/>
    <mergeCell ref="C7:E7"/>
    <mergeCell ref="F7:L7"/>
    <mergeCell ref="A8:A10"/>
    <mergeCell ref="B8:B10"/>
  </mergeCells>
  <conditionalFormatting sqref="C234:E234 M252 F199 M199 M185 F250:F252 M226:M229 C204:E204 M207:M211 G34:L37 C196:M197 G204:M204 G234:M235 C150:E150 G150:M150 M137:M147 F137:F147 G39:I39 C13:M13 M119:M120 F46:M46 M18 M83:M92 F36 G41:J44 K44 G40:L40 M36 K41:L43 C31:M31 F119:F120 F14:F28 M237:M241">
    <cfRule type="cellIs" priority="3" dxfId="0" operator="equal" stopIfTrue="1">
      <formula>0</formula>
    </cfRule>
  </conditionalFormatting>
  <printOptions horizontalCentered="1"/>
  <pageMargins left="0.31496062992125984" right="0.3937007874015748" top="0.984251968503937" bottom="0.5511811023622047" header="0.5118110236220472" footer="0.5118110236220472"/>
  <pageSetup blackAndWhite="1" fitToHeight="19" fitToWidth="1" horizontalDpi="600" verticalDpi="600" orientation="landscape" paperSize="9" scale="51" r:id="rId1"/>
  <rowBreaks count="6" manualBreakCount="6">
    <brk id="20" max="12" man="1"/>
    <brk id="120" max="12" man="1"/>
    <brk id="149" max="12" man="1"/>
    <brk id="164" max="12" man="1"/>
    <brk id="187" max="12" man="1"/>
    <brk id="221"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Света</dc:creator>
  <cp:keywords/>
  <dc:description/>
  <cp:lastModifiedBy>Admin</cp:lastModifiedBy>
  <cp:lastPrinted>2014-04-25T09:54:21Z</cp:lastPrinted>
  <dcterms:created xsi:type="dcterms:W3CDTF">2002-12-16T07:25:53Z</dcterms:created>
  <dcterms:modified xsi:type="dcterms:W3CDTF">2014-04-25T09:54:26Z</dcterms:modified>
  <cp:category/>
  <cp:version/>
  <cp:contentType/>
  <cp:contentStatus/>
</cp:coreProperties>
</file>